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nancial Biz\(株)グリーンファンド\PV国内大規模事業\003-1-新規の土地案件\005-北海道\釧路\資材の交渉と決済他\"/>
    </mc:Choice>
  </mc:AlternateContent>
  <xr:revisionPtr revIDLastSave="0" documentId="8_{35D9C944-DD4B-4A82-8BDD-B714F29ADDE8}" xr6:coauthVersionLast="47" xr6:coauthVersionMax="47" xr10:uidLastSave="{00000000-0000-0000-0000-000000000000}"/>
  <bookViews>
    <workbookView xWindow="675" yWindow="375" windowWidth="62100" windowHeight="26085" xr2:uid="{16998880-4A20-467A-B845-B9151608EB52}"/>
  </bookViews>
  <sheets>
    <sheet name="Sheet1" sheetId="1" r:id="rId1"/>
  </sheets>
  <definedNames>
    <definedName name="_xlnm.Print_Area" localSheetId="0">Sheet1!$B$8:$V$19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8" i="1" l="1"/>
  <c r="AI12" i="1"/>
  <c r="AY13" i="1"/>
  <c r="AY14" i="1" s="1"/>
  <c r="AY15" i="1" s="1"/>
  <c r="AY16" i="1" s="1"/>
  <c r="AY17" i="1" s="1"/>
  <c r="AZ21" i="1" l="1"/>
  <c r="AS17" i="1" l="1"/>
  <c r="AS16" i="1"/>
  <c r="AS15" i="1"/>
  <c r="AS14" i="1"/>
  <c r="AS13" i="1"/>
  <c r="AS12" i="1"/>
  <c r="AK3" i="1" l="1"/>
  <c r="AL3" i="1" s="1"/>
  <c r="AL8" i="1"/>
  <c r="AP17" i="1"/>
  <c r="AP16" i="1"/>
  <c r="AP15" i="1"/>
  <c r="AP14" i="1"/>
  <c r="AP13" i="1"/>
  <c r="AP12" i="1"/>
  <c r="AH18" i="1" l="1"/>
  <c r="AM17" i="1"/>
  <c r="AM16" i="1"/>
  <c r="AM15" i="1"/>
  <c r="AM14" i="1"/>
  <c r="AM13" i="1"/>
  <c r="AM12" i="1"/>
  <c r="T18" i="1" l="1"/>
  <c r="AH16" i="1" s="1"/>
  <c r="AH17" i="1" l="1"/>
  <c r="AH15" i="1"/>
  <c r="AH14" i="1"/>
  <c r="AH13" i="1"/>
  <c r="AH12" i="1"/>
  <c r="H18" i="1"/>
  <c r="V18" i="1" l="1"/>
  <c r="R18" i="1"/>
  <c r="G17" i="1"/>
  <c r="W17" i="1" s="1"/>
  <c r="BD17" i="1" s="1"/>
  <c r="G16" i="1"/>
  <c r="W16" i="1" s="1"/>
  <c r="BD16" i="1" s="1"/>
  <c r="G15" i="1"/>
  <c r="G14" i="1"/>
  <c r="G13" i="1"/>
  <c r="W13" i="1" s="1"/>
  <c r="BD13" i="1" s="1"/>
  <c r="G12" i="1"/>
  <c r="AG12" i="1" l="1"/>
  <c r="W12" i="1"/>
  <c r="BD12" i="1" s="1"/>
  <c r="AI14" i="1"/>
  <c r="W14" i="1"/>
  <c r="BD14" i="1" s="1"/>
  <c r="AI15" i="1"/>
  <c r="W15" i="1"/>
  <c r="BD15" i="1" s="1"/>
  <c r="AV13" i="1"/>
  <c r="AG13" i="1"/>
  <c r="AV16" i="1"/>
  <c r="AG16" i="1"/>
  <c r="AI16" i="1"/>
  <c r="AV14" i="1"/>
  <c r="AG14" i="1"/>
  <c r="AV15" i="1"/>
  <c r="AG15" i="1"/>
  <c r="AV17" i="1"/>
  <c r="AG17" i="1"/>
  <c r="AI17" i="1"/>
  <c r="AI13" i="1"/>
  <c r="AT12" i="1"/>
  <c r="AV12" i="1"/>
  <c r="AQ15" i="1"/>
  <c r="AT15" i="1"/>
  <c r="AQ13" i="1"/>
  <c r="AT13" i="1"/>
  <c r="AQ14" i="1"/>
  <c r="AT14" i="1"/>
  <c r="AQ16" i="1"/>
  <c r="AT16" i="1"/>
  <c r="AQ17" i="1"/>
  <c r="AT17" i="1"/>
  <c r="AM8" i="1"/>
  <c r="AQ12" i="1"/>
  <c r="AK12" i="1"/>
  <c r="AN12" i="1"/>
  <c r="AK13" i="1"/>
  <c r="AN13" i="1"/>
  <c r="AK14" i="1"/>
  <c r="AN14" i="1"/>
  <c r="AK15" i="1"/>
  <c r="AN15" i="1"/>
  <c r="AK16" i="1"/>
  <c r="AN16" i="1"/>
  <c r="AK17" i="1"/>
  <c r="AN17" i="1"/>
  <c r="G18" i="1"/>
  <c r="W18" i="1" s="1"/>
  <c r="BE21" i="1" s="1"/>
  <c r="L15" i="1"/>
  <c r="M15" i="1" l="1"/>
  <c r="AX12" i="1"/>
  <c r="AZ12" i="1" s="1"/>
  <c r="AX14" i="1"/>
  <c r="AZ14" i="1" s="1"/>
  <c r="AX17" i="1"/>
  <c r="AZ17" i="1" s="1"/>
  <c r="AX15" i="1"/>
  <c r="AZ15" i="1" s="1"/>
  <c r="AX13" i="1"/>
  <c r="AZ13" i="1" s="1"/>
  <c r="AX16" i="1"/>
  <c r="AZ16" i="1" s="1"/>
  <c r="L17" i="1"/>
  <c r="L16" i="1"/>
  <c r="L14" i="1"/>
  <c r="L13" i="1"/>
  <c r="L12" i="1"/>
  <c r="X15" i="1" l="1"/>
  <c r="Z15" i="1" s="1"/>
  <c r="N15" i="1"/>
  <c r="BC15" i="1" s="1"/>
  <c r="O15" i="1"/>
  <c r="P15" i="1" s="1"/>
  <c r="BA15" i="1"/>
  <c r="BB15" i="1" s="1"/>
  <c r="BE15" i="1" s="1"/>
  <c r="M13" i="1"/>
  <c r="M17" i="1"/>
  <c r="M12" i="1"/>
  <c r="M16" i="1"/>
  <c r="O16" i="1" s="1"/>
  <c r="P16" i="1" s="1"/>
  <c r="M14" i="1"/>
  <c r="BA16" i="1"/>
  <c r="BB16" i="1" s="1"/>
  <c r="O13" i="1" l="1"/>
  <c r="P13" i="1" s="1"/>
  <c r="X12" i="1"/>
  <c r="Z12" i="1" s="1"/>
  <c r="BA12" i="1"/>
  <c r="BB12" i="1" s="1"/>
  <c r="BA13" i="1"/>
  <c r="BB13" i="1" s="1"/>
  <c r="O12" i="1"/>
  <c r="P12" i="1" s="1"/>
  <c r="N14" i="1"/>
  <c r="BC14" i="1" s="1"/>
  <c r="X14" i="1"/>
  <c r="Z14" i="1" s="1"/>
  <c r="N16" i="1"/>
  <c r="BC16" i="1" s="1"/>
  <c r="BE16" i="1" s="1"/>
  <c r="X16" i="1"/>
  <c r="Z16" i="1" s="1"/>
  <c r="N12" i="1"/>
  <c r="BC12" i="1" s="1"/>
  <c r="O17" i="1"/>
  <c r="P17" i="1" s="1"/>
  <c r="X17" i="1"/>
  <c r="Z17" i="1" s="1"/>
  <c r="N13" i="1"/>
  <c r="BC13" i="1" s="1"/>
  <c r="X13" i="1"/>
  <c r="Z13" i="1" s="1"/>
  <c r="BA14" i="1"/>
  <c r="BB14" i="1" s="1"/>
  <c r="O14" i="1"/>
  <c r="P14" i="1" s="1"/>
  <c r="M18" i="1"/>
  <c r="N18" i="1" s="1"/>
  <c r="BC18" i="1" s="1"/>
  <c r="BA17" i="1"/>
  <c r="BB17" i="1" s="1"/>
  <c r="N17" i="1"/>
  <c r="BC17" i="1" s="1"/>
  <c r="BE13" i="1" l="1"/>
  <c r="BE12" i="1"/>
  <c r="AZ20" i="1" s="1"/>
  <c r="AZ25" i="1" s="1"/>
  <c r="X18" i="1"/>
  <c r="Z18" i="1" s="1"/>
  <c r="M20" i="1"/>
  <c r="BE20" i="1" s="1"/>
  <c r="BE22" i="1" s="1"/>
  <c r="O18" i="1"/>
  <c r="M19" i="1" s="1"/>
  <c r="BE14" i="1"/>
  <c r="O22" i="1"/>
  <c r="BE17" i="1"/>
  <c r="P18" i="1"/>
  <c r="BE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Kouichi Yamauchi</author>
  </authors>
  <commentList>
    <comment ref="BA12" authorId="0" shapeId="0" xr:uid="{18542DD8-3600-408A-8F0A-976E63F8B746}">
      <text>
        <r>
          <rPr>
            <b/>
            <sz val="9"/>
            <color indexed="81"/>
            <rFont val="MS P ゴシック"/>
            <family val="3"/>
            <charset val="128"/>
          </rPr>
          <t>Kouichi Yamauchi:</t>
        </r>
        <r>
          <rPr>
            <sz val="9"/>
            <color indexed="81"/>
            <rFont val="MS P ゴシック"/>
            <family val="3"/>
            <charset val="128"/>
          </rPr>
          <t xml:space="preserve">
584111+660（送金費用）</t>
        </r>
      </text>
    </comment>
    <comment ref="BA13" authorId="0" shapeId="0" xr:uid="{6FB09737-3978-4D43-B372-067C24DCB8DC}">
      <text>
        <r>
          <rPr>
            <b/>
            <sz val="9"/>
            <color indexed="81"/>
            <rFont val="MS P ゴシック"/>
            <family val="3"/>
            <charset val="128"/>
          </rPr>
          <t>Kouichi Yamauchi:</t>
        </r>
        <r>
          <rPr>
            <sz val="9"/>
            <color indexed="81"/>
            <rFont val="MS P ゴシック"/>
            <family val="3"/>
            <charset val="128"/>
          </rPr>
          <t xml:space="preserve">
584111+660（送金費用）</t>
        </r>
      </text>
    </comment>
    <comment ref="BA14" authorId="0" shapeId="0" xr:uid="{E86F6E7F-4971-4DC6-8DF5-BCA4A0751E78}">
      <text>
        <r>
          <rPr>
            <b/>
            <sz val="9"/>
            <color indexed="81"/>
            <rFont val="MS P ゴシック"/>
            <family val="3"/>
            <charset val="128"/>
          </rPr>
          <t>Kouichi Yamauchi:</t>
        </r>
        <r>
          <rPr>
            <sz val="9"/>
            <color indexed="81"/>
            <rFont val="MS P ゴシック"/>
            <family val="3"/>
            <charset val="128"/>
          </rPr>
          <t xml:space="preserve">
584111+660（送金費用）</t>
        </r>
      </text>
    </comment>
    <comment ref="BA15" authorId="0" shapeId="0" xr:uid="{3B738700-AEA0-408C-88E6-88CDBFE46771}">
      <text>
        <r>
          <rPr>
            <b/>
            <sz val="9"/>
            <color indexed="81"/>
            <rFont val="MS P ゴシック"/>
            <family val="3"/>
            <charset val="128"/>
          </rPr>
          <t>Kouichi Yamauchi:</t>
        </r>
        <r>
          <rPr>
            <sz val="9"/>
            <color indexed="81"/>
            <rFont val="MS P ゴシック"/>
            <family val="3"/>
            <charset val="128"/>
          </rPr>
          <t xml:space="preserve">
584111+660（送金費用）</t>
        </r>
      </text>
    </comment>
    <comment ref="V16" authorId="0" shapeId="0" xr:uid="{0AC70F29-3659-44D4-964F-C5B5CCFC2A15}">
      <text>
        <r>
          <rPr>
            <b/>
            <sz val="9"/>
            <color indexed="81"/>
            <rFont val="MS P ゴシック"/>
            <family val="3"/>
            <charset val="128"/>
          </rPr>
          <t>Kouichi Yamauchi:</t>
        </r>
        <r>
          <rPr>
            <sz val="9"/>
            <color indexed="81"/>
            <rFont val="MS P ゴシック"/>
            <family val="3"/>
            <charset val="128"/>
          </rPr>
          <t xml:space="preserve">
再度、接続検討申請書を提出中</t>
        </r>
      </text>
    </comment>
    <comment ref="BA16" authorId="0" shapeId="0" xr:uid="{66F9CE6E-016D-4DA8-8FDD-BFF9D4B78FC7}">
      <text>
        <r>
          <rPr>
            <b/>
            <sz val="9"/>
            <color indexed="81"/>
            <rFont val="MS P ゴシック"/>
            <family val="3"/>
            <charset val="128"/>
          </rPr>
          <t>Kouichi Yamauchi:</t>
        </r>
        <r>
          <rPr>
            <sz val="9"/>
            <color indexed="81"/>
            <rFont val="MS P ゴシック"/>
            <family val="3"/>
            <charset val="128"/>
          </rPr>
          <t xml:space="preserve">
584111+660（送金費用）</t>
        </r>
      </text>
    </comment>
    <comment ref="BA17" authorId="0" shapeId="0" xr:uid="{725ABA05-85BB-4DA0-86B7-C6C34719612D}">
      <text>
        <r>
          <rPr>
            <b/>
            <sz val="9"/>
            <color indexed="81"/>
            <rFont val="MS P ゴシック"/>
            <family val="3"/>
            <charset val="128"/>
          </rPr>
          <t>Kouichi Yamauchi:</t>
        </r>
        <r>
          <rPr>
            <sz val="9"/>
            <color indexed="81"/>
            <rFont val="MS P ゴシック"/>
            <family val="3"/>
            <charset val="128"/>
          </rPr>
          <t xml:space="preserve">
584111+660（送金費用）</t>
        </r>
      </text>
    </comment>
  </commentList>
</comments>
</file>

<file path=xl/sharedStrings.xml><?xml version="1.0" encoding="utf-8"?>
<sst xmlns="http://schemas.openxmlformats.org/spreadsheetml/2006/main" count="133" uniqueCount="125">
  <si>
    <t>北海道白糠郡白糠町庶路37番328、319　42.99438461214027, 144.153627823633</t>
    <rPh sb="0" eb="3">
      <t>ホッカイドウ</t>
    </rPh>
    <rPh sb="3" eb="6">
      <t>シラヌカグン</t>
    </rPh>
    <rPh sb="6" eb="9">
      <t>シラヌカチョウ</t>
    </rPh>
    <rPh sb="9" eb="11">
      <t>ショロ</t>
    </rPh>
    <rPh sb="13" eb="14">
      <t>バン</t>
    </rPh>
    <phoneticPr fontId="3"/>
  </si>
  <si>
    <t>北海道白糠郡白糠町西6条北1丁目2番36　他1筆　42.95551583826343, 144.05477744545257</t>
    <rPh sb="0" eb="3">
      <t>ホッカイドウ</t>
    </rPh>
    <rPh sb="3" eb="6">
      <t>シラヌカグン</t>
    </rPh>
    <rPh sb="6" eb="9">
      <t>シラヌカチョウ</t>
    </rPh>
    <rPh sb="9" eb="10">
      <t>ニシ</t>
    </rPh>
    <rPh sb="11" eb="12">
      <t>ジョウ</t>
    </rPh>
    <rPh sb="12" eb="13">
      <t>キタ</t>
    </rPh>
    <rPh sb="14" eb="16">
      <t>チョウメ</t>
    </rPh>
    <rPh sb="17" eb="18">
      <t>バン</t>
    </rPh>
    <rPh sb="21" eb="22">
      <t>ホカ</t>
    </rPh>
    <rPh sb="23" eb="24">
      <t>フデ</t>
    </rPh>
    <phoneticPr fontId="3"/>
  </si>
  <si>
    <t>北海道厚岸郡厚岸町山の手3丁目68番　43.074019840278, 144.8393435125103</t>
    <rPh sb="0" eb="3">
      <t>ホッカイドウ</t>
    </rPh>
    <rPh sb="3" eb="5">
      <t>アッケシ</t>
    </rPh>
    <rPh sb="5" eb="6">
      <t>グン</t>
    </rPh>
    <rPh sb="6" eb="9">
      <t>アッケシチョウ</t>
    </rPh>
    <rPh sb="9" eb="10">
      <t>ヤマ</t>
    </rPh>
    <rPh sb="11" eb="12">
      <t>テ</t>
    </rPh>
    <rPh sb="13" eb="15">
      <t>チョウメ</t>
    </rPh>
    <rPh sb="17" eb="18">
      <t>バン</t>
    </rPh>
    <phoneticPr fontId="3"/>
  </si>
  <si>
    <t>北海道野付郡別海町西春別63番24　43.43047016773459, 144.77371422997206</t>
    <rPh sb="0" eb="3">
      <t>ホッカイドウ</t>
    </rPh>
    <rPh sb="3" eb="6">
      <t>ノツケグン</t>
    </rPh>
    <rPh sb="6" eb="9">
      <t>ベッカイチョウ</t>
    </rPh>
    <rPh sb="9" eb="12">
      <t>ニシシュンベツ</t>
    </rPh>
    <rPh sb="14" eb="15">
      <t>バン</t>
    </rPh>
    <phoneticPr fontId="3"/>
  </si>
  <si>
    <t>北海道野付郡別海町西春別53番30　他5筆　43.417405624061075, 144.74164944771263</t>
    <rPh sb="0" eb="3">
      <t>ホッカイドウ</t>
    </rPh>
    <rPh sb="3" eb="6">
      <t>ノツケグン</t>
    </rPh>
    <rPh sb="6" eb="9">
      <t>ベッカイチョウ</t>
    </rPh>
    <rPh sb="9" eb="12">
      <t>ニシシュンベツ</t>
    </rPh>
    <rPh sb="14" eb="15">
      <t>バン</t>
    </rPh>
    <rPh sb="18" eb="19">
      <t>ホカ</t>
    </rPh>
    <rPh sb="20" eb="21">
      <t>フデ</t>
    </rPh>
    <phoneticPr fontId="3"/>
  </si>
  <si>
    <t>面積（公簿）</t>
    <rPh sb="0" eb="2">
      <t>メンセキ</t>
    </rPh>
    <rPh sb="3" eb="5">
      <t>コウボ</t>
    </rPh>
    <phoneticPr fontId="3"/>
  </si>
  <si>
    <t>㎡</t>
    <phoneticPr fontId="3"/>
  </si>
  <si>
    <t>坪</t>
    <rPh sb="0" eb="1">
      <t>ツボ</t>
    </rPh>
    <phoneticPr fontId="3"/>
  </si>
  <si>
    <t>土地価格</t>
    <rPh sb="0" eb="4">
      <t>トチカカク</t>
    </rPh>
    <phoneticPr fontId="3"/>
  </si>
  <si>
    <t>手付金額(10%)</t>
    <rPh sb="0" eb="3">
      <t>テツケキン</t>
    </rPh>
    <rPh sb="3" eb="4">
      <t>ガク</t>
    </rPh>
    <phoneticPr fontId="3"/>
  </si>
  <si>
    <t>合計金額</t>
    <rPh sb="0" eb="2">
      <t>ゴウケイ</t>
    </rPh>
    <rPh sb="2" eb="4">
      <t>キンガク</t>
    </rPh>
    <phoneticPr fontId="3"/>
  </si>
  <si>
    <t>別紙　１</t>
    <rPh sb="0" eb="2">
      <t>ベッシ</t>
    </rPh>
    <phoneticPr fontId="3"/>
  </si>
  <si>
    <t>本物件リスト</t>
    <phoneticPr fontId="3"/>
  </si>
  <si>
    <t>DC-KW数</t>
    <rPh sb="5" eb="6">
      <t>スウ</t>
    </rPh>
    <phoneticPr fontId="3"/>
  </si>
  <si>
    <t>JINKO585wべース</t>
    <phoneticPr fontId="3"/>
  </si>
  <si>
    <t>設置可能パネル枚数</t>
    <rPh sb="0" eb="4">
      <t>セッチカノウ</t>
    </rPh>
    <rPh sb="7" eb="9">
      <t>マイスウ</t>
    </rPh>
    <phoneticPr fontId="3"/>
  </si>
  <si>
    <t>接続回答時の工事負担金（税込み）</t>
    <rPh sb="0" eb="2">
      <t>セツゾク</t>
    </rPh>
    <rPh sb="2" eb="4">
      <t>カイトウ</t>
    </rPh>
    <rPh sb="4" eb="5">
      <t>ジ</t>
    </rPh>
    <rPh sb="12" eb="14">
      <t>ゼイコ</t>
    </rPh>
    <phoneticPr fontId="3"/>
  </si>
  <si>
    <t>残金＝＝＞</t>
    <rPh sb="0" eb="2">
      <t>ザンキン</t>
    </rPh>
    <phoneticPr fontId="3"/>
  </si>
  <si>
    <t>北海道標津郡中標津町東中１番３　43.57562997905814, 144.9944435450931</t>
    <rPh sb="0" eb="3">
      <t>ホッカイドウ</t>
    </rPh>
    <rPh sb="10" eb="12">
      <t>ヒガシナカ</t>
    </rPh>
    <rPh sb="13" eb="14">
      <t>バン</t>
    </rPh>
    <phoneticPr fontId="3"/>
  </si>
  <si>
    <t>系統連系申請書記載の受電電力（AC－KW数)</t>
    <rPh sb="0" eb="4">
      <t>ケイトウレンケイ</t>
    </rPh>
    <rPh sb="4" eb="7">
      <t>シンセイショ</t>
    </rPh>
    <rPh sb="7" eb="9">
      <t>キサイ</t>
    </rPh>
    <rPh sb="10" eb="12">
      <t>ジュデン</t>
    </rPh>
    <rPh sb="12" eb="14">
      <t>デンリョク</t>
    </rPh>
    <rPh sb="20" eb="21">
      <t>スウ</t>
    </rPh>
    <phoneticPr fontId="3"/>
  </si>
  <si>
    <t>備考</t>
    <rPh sb="0" eb="2">
      <t>ビコウ</t>
    </rPh>
    <phoneticPr fontId="3"/>
  </si>
  <si>
    <t>キュービクル変圧器の容量（kVA)</t>
    <rPh sb="6" eb="9">
      <t>ヘンアツキ</t>
    </rPh>
    <rPh sb="10" eb="12">
      <t>ヨウリョウ</t>
    </rPh>
    <phoneticPr fontId="3"/>
  </si>
  <si>
    <t>土地のKW単価</t>
    <rPh sb="0" eb="2">
      <t>トチ</t>
    </rPh>
    <rPh sb="5" eb="7">
      <t>タンカ</t>
    </rPh>
    <phoneticPr fontId="3"/>
  </si>
  <si>
    <t>系統連系申請日</t>
    <rPh sb="0" eb="4">
      <t>ケイトウレンケイ</t>
    </rPh>
    <rPh sb="4" eb="7">
      <t>シンセイビ</t>
    </rPh>
    <phoneticPr fontId="3"/>
  </si>
  <si>
    <t>所在地（緯度、　経度）</t>
    <rPh sb="0" eb="3">
      <t>ショザイチ</t>
    </rPh>
    <rPh sb="4" eb="6">
      <t>イド</t>
    </rPh>
    <rPh sb="8" eb="10">
      <t>ケイド</t>
    </rPh>
    <phoneticPr fontId="3"/>
  </si>
  <si>
    <t>2024/4/26に接続検討回答が来る。そして2024/5/10までに系統連系申請書を提出する予定</t>
    <rPh sb="10" eb="16">
      <t>セツゾクケントウカイトウ</t>
    </rPh>
    <rPh sb="17" eb="18">
      <t>キ</t>
    </rPh>
    <rPh sb="35" eb="42">
      <t>ケイトウレンケイシンセイショ</t>
    </rPh>
    <rPh sb="43" eb="45">
      <t>テイシュツ</t>
    </rPh>
    <rPh sb="47" eb="49">
      <t>ヨテイ</t>
    </rPh>
    <phoneticPr fontId="3"/>
  </si>
  <si>
    <t>系統連系回答予定日</t>
    <rPh sb="0" eb="4">
      <t>ケイトウレンケイ</t>
    </rPh>
    <rPh sb="4" eb="6">
      <t>カイトウ</t>
    </rPh>
    <rPh sb="6" eb="8">
      <t>ヨテイ</t>
    </rPh>
    <rPh sb="8" eb="9">
      <t>ビ</t>
    </rPh>
    <phoneticPr fontId="3"/>
  </si>
  <si>
    <t>土地の外周（フェンス）の長さ</t>
    <rPh sb="0" eb="2">
      <t>トチ</t>
    </rPh>
    <rPh sb="3" eb="5">
      <t>ガイシュウ</t>
    </rPh>
    <rPh sb="12" eb="13">
      <t>ナガ</t>
    </rPh>
    <phoneticPr fontId="3"/>
  </si>
  <si>
    <t>395ｍ</t>
    <phoneticPr fontId="3"/>
  </si>
  <si>
    <t>485ｍ</t>
    <phoneticPr fontId="3"/>
  </si>
  <si>
    <t>711ｍ</t>
    <phoneticPr fontId="3"/>
  </si>
  <si>
    <t>635ｍ</t>
    <phoneticPr fontId="3"/>
  </si>
  <si>
    <t>451ｍ</t>
    <phoneticPr fontId="3"/>
  </si>
  <si>
    <t>555ｍ</t>
    <phoneticPr fontId="3"/>
  </si>
  <si>
    <t>パネル見積書</t>
    <phoneticPr fontId="3"/>
  </si>
  <si>
    <t>系統側工事期間</t>
    <rPh sb="0" eb="2">
      <t>ケイトウ</t>
    </rPh>
    <rPh sb="2" eb="3">
      <t>ガワ</t>
    </rPh>
    <rPh sb="3" eb="7">
      <t>コウジキカン</t>
    </rPh>
    <phoneticPr fontId="3"/>
  </si>
  <si>
    <t>北電が求めているPCSの力率</t>
    <rPh sb="0" eb="2">
      <t>ホクデン</t>
    </rPh>
    <rPh sb="3" eb="4">
      <t>モト</t>
    </rPh>
    <rPh sb="12" eb="14">
      <t>リキリツ</t>
    </rPh>
    <phoneticPr fontId="3"/>
  </si>
  <si>
    <t>4か月</t>
    <rPh sb="2" eb="3">
      <t>ゲツ</t>
    </rPh>
    <phoneticPr fontId="3"/>
  </si>
  <si>
    <t>5か月</t>
    <rPh sb="2" eb="3">
      <t>ゲツ</t>
    </rPh>
    <phoneticPr fontId="3"/>
  </si>
  <si>
    <t>3か月</t>
    <rPh sb="2" eb="3">
      <t>ゲツ</t>
    </rPh>
    <phoneticPr fontId="3"/>
  </si>
  <si>
    <t>6カ月</t>
    <rPh sb="2" eb="3">
      <t>ゲツ</t>
    </rPh>
    <phoneticPr fontId="3"/>
  </si>
  <si>
    <t>キュービクル</t>
    <phoneticPr fontId="3"/>
  </si>
  <si>
    <t>小計</t>
    <rPh sb="0" eb="2">
      <t>ショウケイ</t>
    </rPh>
    <phoneticPr fontId="3"/>
  </si>
  <si>
    <t>土地残金</t>
    <rPh sb="0" eb="4">
      <t>トチザンキン</t>
    </rPh>
    <phoneticPr fontId="3"/>
  </si>
  <si>
    <t>案件番号1+2+5+6の合計</t>
    <rPh sb="0" eb="2">
      <t>アンケン</t>
    </rPh>
    <rPh sb="2" eb="4">
      <t>バンゴウ</t>
    </rPh>
    <rPh sb="12" eb="14">
      <t>ゴウケイ</t>
    </rPh>
    <phoneticPr fontId="3"/>
  </si>
  <si>
    <t>キンセンド</t>
    <phoneticPr fontId="3"/>
  </si>
  <si>
    <t>土地紹介料</t>
    <rPh sb="0" eb="5">
      <t>トチショウカイリョウ</t>
    </rPh>
    <phoneticPr fontId="3"/>
  </si>
  <si>
    <t>契約時</t>
    <rPh sb="0" eb="3">
      <t>ケイヤクジ</t>
    </rPh>
    <phoneticPr fontId="3"/>
  </si>
  <si>
    <t>出港までに</t>
    <rPh sb="0" eb="2">
      <t>シュッコウ</t>
    </rPh>
    <phoneticPr fontId="3"/>
  </si>
  <si>
    <t>2024/4/3　　中国信用会社へ申し込んで保険できれば、70％残金は現場着後、月締めでもいいです。御社のご要望決済条件は如何でしょうか。</t>
    <phoneticPr fontId="3"/>
  </si>
  <si>
    <t>案件番号</t>
    <rPh sb="0" eb="4">
      <t>アンケンバンゴウ</t>
    </rPh>
    <phoneticPr fontId="3"/>
  </si>
  <si>
    <t>この案件は景観条例規制対象になるとの情報が有り、道に接する北西側のフェンスを条例に沿って道から2ｍ離隔した設計にしている。</t>
    <rPh sb="2" eb="4">
      <t>アンケン</t>
    </rPh>
    <rPh sb="5" eb="9">
      <t>ケイカンジョウレイ</t>
    </rPh>
    <rPh sb="9" eb="13">
      <t>キセイタイショウ</t>
    </rPh>
    <rPh sb="18" eb="20">
      <t>ジョウホウ</t>
    </rPh>
    <rPh sb="21" eb="22">
      <t>ア</t>
    </rPh>
    <rPh sb="24" eb="25">
      <t>ミチ</t>
    </rPh>
    <rPh sb="26" eb="27">
      <t>セッ</t>
    </rPh>
    <rPh sb="29" eb="32">
      <t>ホクセイガワ</t>
    </rPh>
    <rPh sb="38" eb="40">
      <t>ジョウレイ</t>
    </rPh>
    <rPh sb="41" eb="42">
      <t>ソ</t>
    </rPh>
    <rPh sb="44" eb="45">
      <t>ミチ</t>
    </rPh>
    <rPh sb="49" eb="51">
      <t>リカク</t>
    </rPh>
    <rPh sb="53" eb="55">
      <t>セッケイ</t>
    </rPh>
    <phoneticPr fontId="3"/>
  </si>
  <si>
    <t>案件6　　25-67別海町西春別53－30他と近接しているため再度　接続検討申請書を出せと北電から言われ、2024/2/15に再度、接続検討申請書を出した。</t>
    <rPh sb="0" eb="2">
      <t>アンケン</t>
    </rPh>
    <rPh sb="10" eb="13">
      <t>ベッカイチョウ</t>
    </rPh>
    <rPh sb="13" eb="16">
      <t>ニシシュンベツ</t>
    </rPh>
    <rPh sb="21" eb="22">
      <t>ホカ</t>
    </rPh>
    <rPh sb="23" eb="25">
      <t>キンセツ</t>
    </rPh>
    <rPh sb="31" eb="33">
      <t>サイド</t>
    </rPh>
    <rPh sb="34" eb="41">
      <t>セツゾクケントウシンセイショ</t>
    </rPh>
    <rPh sb="42" eb="43">
      <t>ダ</t>
    </rPh>
    <rPh sb="45" eb="47">
      <t>ホクデン</t>
    </rPh>
    <rPh sb="49" eb="50">
      <t>イ</t>
    </rPh>
    <rPh sb="63" eb="65">
      <t>サイド</t>
    </rPh>
    <rPh sb="66" eb="73">
      <t>セツゾクケントウシンセイショ</t>
    </rPh>
    <rPh sb="74" eb="75">
      <t>ダ</t>
    </rPh>
    <phoneticPr fontId="3"/>
  </si>
  <si>
    <t>為替レート</t>
    <rPh sb="0" eb="2">
      <t>カワセ</t>
    </rPh>
    <phoneticPr fontId="3"/>
  </si>
  <si>
    <t>傾斜角度30度　最低の足の高さ1ｍ</t>
    <rPh sb="0" eb="4">
      <t>ケイシャカクド</t>
    </rPh>
    <rPh sb="6" eb="7">
      <t>ド</t>
    </rPh>
    <rPh sb="8" eb="10">
      <t>サイテイ</t>
    </rPh>
    <rPh sb="11" eb="12">
      <t>アシ</t>
    </rPh>
    <rPh sb="13" eb="14">
      <t>タカ</t>
    </rPh>
    <phoneticPr fontId="3"/>
  </si>
  <si>
    <t>傾斜角度40度　最低の足の高さ1.5ｍ</t>
    <rPh sb="0" eb="2">
      <t>ケイシャ</t>
    </rPh>
    <rPh sb="2" eb="4">
      <t>カクド</t>
    </rPh>
    <rPh sb="6" eb="7">
      <t>ド</t>
    </rPh>
    <rPh sb="8" eb="10">
      <t>サイテイ</t>
    </rPh>
    <rPh sb="11" eb="12">
      <t>アシ</t>
    </rPh>
    <rPh sb="13" eb="14">
      <t>タカ</t>
    </rPh>
    <phoneticPr fontId="3"/>
  </si>
  <si>
    <t>GM</t>
    <phoneticPr fontId="3"/>
  </si>
  <si>
    <t>架台メーカーNOVIS　DC-KW単価</t>
    <rPh sb="0" eb="2">
      <t>カダイ</t>
    </rPh>
    <rPh sb="17" eb="19">
      <t>タンカ</t>
    </rPh>
    <phoneticPr fontId="3"/>
  </si>
  <si>
    <t xml:space="preserve">架台メーカーANTAI US$建価格 </t>
    <rPh sb="0" eb="2">
      <t>カダイ</t>
    </rPh>
    <rPh sb="15" eb="16">
      <t>タ</t>
    </rPh>
    <rPh sb="16" eb="18">
      <t>カカク</t>
    </rPh>
    <phoneticPr fontId="3"/>
  </si>
  <si>
    <t>架台メーカーANTAI 円換算金額</t>
    <rPh sb="0" eb="2">
      <t>カダイ</t>
    </rPh>
    <rPh sb="12" eb="17">
      <t>エンカンザンキンガク</t>
    </rPh>
    <phoneticPr fontId="3"/>
  </si>
  <si>
    <t>架台メーカーANTAI　DC-KW単価</t>
    <rPh sb="0" eb="2">
      <t>カダイ</t>
    </rPh>
    <rPh sb="17" eb="19">
      <t>タンカ</t>
    </rPh>
    <phoneticPr fontId="3"/>
  </si>
  <si>
    <t>架台メーカーGOOMAX US$建価格</t>
    <rPh sb="0" eb="2">
      <t>カダイ</t>
    </rPh>
    <rPh sb="16" eb="17">
      <t>タ</t>
    </rPh>
    <rPh sb="17" eb="19">
      <t>カカク</t>
    </rPh>
    <phoneticPr fontId="3"/>
  </si>
  <si>
    <t>架台メーカーGOOMAX 円換算金額</t>
    <rPh sb="0" eb="2">
      <t>カダイ</t>
    </rPh>
    <rPh sb="13" eb="18">
      <t>エンカンザンキンガク</t>
    </rPh>
    <phoneticPr fontId="3"/>
  </si>
  <si>
    <t>架台メーカーGOOMAX　DC-KW単価</t>
    <rPh sb="0" eb="2">
      <t>カダイ</t>
    </rPh>
    <rPh sb="18" eb="20">
      <t>タンカ</t>
    </rPh>
    <phoneticPr fontId="3"/>
  </si>
  <si>
    <t>フェンス　プロフェンス社</t>
    <rPh sb="11" eb="12">
      <t>シャ</t>
    </rPh>
    <phoneticPr fontId="3"/>
  </si>
  <si>
    <t>フェンス　プロフェンス社DC－KW単価</t>
    <rPh sb="11" eb="12">
      <t>シャ</t>
    </rPh>
    <rPh sb="17" eb="19">
      <t>タンカ</t>
    </rPh>
    <phoneticPr fontId="3"/>
  </si>
  <si>
    <t>キュービクル　DC-KW単価</t>
    <rPh sb="12" eb="14">
      <t>タンカ</t>
    </rPh>
    <phoneticPr fontId="3"/>
  </si>
  <si>
    <t>パネル見積書DC－KW単価</t>
    <rPh sb="11" eb="13">
      <t>タンカ</t>
    </rPh>
    <phoneticPr fontId="3"/>
  </si>
  <si>
    <t>PCS　DC－KW単価</t>
    <rPh sb="9" eb="11">
      <t>タンカ</t>
    </rPh>
    <phoneticPr fontId="3"/>
  </si>
  <si>
    <t>PCSの見積もり総額↑</t>
    <phoneticPr fontId="3"/>
  </si>
  <si>
    <t>工事費概算DC-KW単価</t>
    <rPh sb="0" eb="3">
      <t>コウジヒ</t>
    </rPh>
    <rPh sb="3" eb="5">
      <t>ガイサン</t>
    </rPh>
    <rPh sb="10" eb="12">
      <t>タンカ</t>
    </rPh>
    <phoneticPr fontId="3"/>
  </si>
  <si>
    <t>↓↓↓</t>
    <phoneticPr fontId="3"/>
  </si>
  <si>
    <t>土地紹介料　DC－KW単価</t>
    <rPh sb="0" eb="5">
      <t>トチショウカイリョウ</t>
    </rPh>
    <rPh sb="11" eb="13">
      <t>タンカ</t>
    </rPh>
    <phoneticPr fontId="3"/>
  </si>
  <si>
    <t>架台メーカー/商社NOVIS</t>
    <rPh sb="0" eb="2">
      <t>カダイ</t>
    </rPh>
    <rPh sb="7" eb="9">
      <t>ショウシャ</t>
    </rPh>
    <phoneticPr fontId="3"/>
  </si>
  <si>
    <t>工事負担金のDC-KW単価</t>
    <rPh sb="0" eb="5">
      <t>コウジフタンキン</t>
    </rPh>
    <rPh sb="11" eb="13">
      <t>タンカ</t>
    </rPh>
    <phoneticPr fontId="3"/>
  </si>
  <si>
    <t>＜＝＝六ケ所平均で</t>
    <rPh sb="3" eb="8">
      <t>ロッカショヘイキン</t>
    </rPh>
    <phoneticPr fontId="3"/>
  </si>
  <si>
    <t>土地値のDC-KW単価</t>
    <rPh sb="0" eb="2">
      <t>トチ</t>
    </rPh>
    <rPh sb="2" eb="3">
      <t>ネ</t>
    </rPh>
    <rPh sb="9" eb="11">
      <t>タンカ</t>
    </rPh>
    <phoneticPr fontId="3"/>
  </si>
  <si>
    <t>土地残金支払い日</t>
    <rPh sb="0" eb="6">
      <t>トチザンキンシハラ</t>
    </rPh>
    <rPh sb="7" eb="8">
      <t>ビ</t>
    </rPh>
    <phoneticPr fontId="3"/>
  </si>
  <si>
    <t>2024/3/14</t>
    <phoneticPr fontId="3"/>
  </si>
  <si>
    <t>PCSの台数(Solaredge社製）</t>
    <rPh sb="4" eb="6">
      <t>ダイスウ</t>
    </rPh>
    <rPh sb="16" eb="18">
      <t>シャセイ</t>
    </rPh>
    <phoneticPr fontId="3"/>
  </si>
  <si>
    <t>材工単価（DC－KW当り）</t>
    <rPh sb="0" eb="2">
      <t>ザイコウ</t>
    </rPh>
    <rPh sb="2" eb="4">
      <t>タンカ</t>
    </rPh>
    <rPh sb="10" eb="11">
      <t>アタ</t>
    </rPh>
    <phoneticPr fontId="3"/>
  </si>
  <si>
    <t>材料DC－KW単価合計</t>
    <rPh sb="0" eb="2">
      <t>ザイリョウ</t>
    </rPh>
    <rPh sb="7" eb="9">
      <t>タンカ</t>
    </rPh>
    <rPh sb="9" eb="11">
      <t>ゴウケイ</t>
    </rPh>
    <rPh sb="10" eb="11">
      <t>ケイ</t>
    </rPh>
    <phoneticPr fontId="3"/>
  </si>
  <si>
    <t>土地値のDC-KW単価</t>
  </si>
  <si>
    <t>工事費は仮置きの単価</t>
    <rPh sb="0" eb="3">
      <t>コウジヒ</t>
    </rPh>
    <rPh sb="4" eb="6">
      <t>カリオ</t>
    </rPh>
    <rPh sb="8" eb="10">
      <t>タンカ</t>
    </rPh>
    <phoneticPr fontId="3"/>
  </si>
  <si>
    <t>電力工事負担金DC-KW単価</t>
    <rPh sb="0" eb="2">
      <t>デンリョク</t>
    </rPh>
    <rPh sb="2" eb="7">
      <t>コウジフタンキン</t>
    </rPh>
    <rPh sb="12" eb="14">
      <t>タンカ</t>
    </rPh>
    <phoneticPr fontId="3"/>
  </si>
  <si>
    <t>DC-KW単価コスト総計</t>
    <rPh sb="5" eb="7">
      <t>タンカ</t>
    </rPh>
    <rPh sb="10" eb="12">
      <t>ソウケイ</t>
    </rPh>
    <phoneticPr fontId="3"/>
  </si>
  <si>
    <t>↑↑6案件の加重平均DC-KW単価</t>
    <rPh sb="3" eb="5">
      <t>アンケン</t>
    </rPh>
    <rPh sb="6" eb="10">
      <t>カジュウヘイキン</t>
    </rPh>
    <rPh sb="15" eb="17">
      <t>タンカ</t>
    </rPh>
    <phoneticPr fontId="3"/>
  </si>
  <si>
    <t>NEDO　MONDSOLAR　年間日射量(kWh/㎡・day)</t>
    <rPh sb="15" eb="17">
      <t>ネンカン</t>
    </rPh>
    <rPh sb="17" eb="20">
      <t>ニッシャリョウ</t>
    </rPh>
    <phoneticPr fontId="3"/>
  </si>
  <si>
    <t>4.26　https://appww2.infoc.nedo.go.jp/appww/cgi-bin/monsola.cgi?m=64443192</t>
    <phoneticPr fontId="3"/>
  </si>
  <si>
    <t>4.25　https://appww2.infoc.nedo.go.jp/appww/cgi-bin/monsola.cgi?m=64443044</t>
    <phoneticPr fontId="3"/>
  </si>
  <si>
    <t>4.09　https://www.google.com/maps/place/43%C2%B004'26.5%22N+144%C2%B050'21.6%22E/@43.0740198,144.8367686,1228m/data=!3m2!1e3!4b1!4m4!3m3!8m2!3d43.0740198!4d144.8393435?entry=ttu</t>
    <phoneticPr fontId="3"/>
  </si>
  <si>
    <t>4.05　https://appww2.infoc.nedo.go.jp/appww/cgi-bin/monsola.cgi?m=65442799</t>
    <phoneticPr fontId="3"/>
  </si>
  <si>
    <t>4.07　https://appww2.infoc.nedo.go.jp/appww/cgi-bin/monsola.cgi?m=65441611</t>
    <phoneticPr fontId="3"/>
  </si>
  <si>
    <t>4.07　https://appww2.infoc.nedo.go.jp/appww/cgi-bin/monsola.cgi?m=65440599</t>
    <phoneticPr fontId="3"/>
  </si>
  <si>
    <t>平均単価↑</t>
    <rPh sb="0" eb="2">
      <t>ヘイキン</t>
    </rPh>
    <rPh sb="2" eb="4">
      <t>タンカ</t>
    </rPh>
    <phoneticPr fontId="3"/>
  </si>
  <si>
    <t>土地坪単価</t>
    <rPh sb="0" eb="2">
      <t>トチ</t>
    </rPh>
    <rPh sb="2" eb="3">
      <t>ツボ</t>
    </rPh>
    <rPh sb="3" eb="5">
      <t>タンカ</t>
    </rPh>
    <phoneticPr fontId="3"/>
  </si>
  <si>
    <t>土地のKW単価＝＝＞</t>
    <rPh sb="0" eb="2">
      <t>トチ</t>
    </rPh>
    <rPh sb="5" eb="7">
      <t>タンカ</t>
    </rPh>
    <phoneticPr fontId="3"/>
  </si>
  <si>
    <t>負担金合計のKW単価＝＝＝＝＝＞</t>
    <rPh sb="0" eb="5">
      <t>フタンキンゴウケイ</t>
    </rPh>
    <rPh sb="8" eb="10">
      <t>タンカ</t>
    </rPh>
    <phoneticPr fontId="3"/>
  </si>
  <si>
    <t>土地&amp;負担金のKW単価合計＝＝＞</t>
    <rPh sb="0" eb="2">
      <t>トチ</t>
    </rPh>
    <rPh sb="3" eb="6">
      <t>フタンキン</t>
    </rPh>
    <rPh sb="9" eb="13">
      <t>タンカゴウケイ</t>
    </rPh>
    <phoneticPr fontId="3"/>
  </si>
  <si>
    <t>PCSの割引</t>
    <rPh sb="4" eb="6">
      <t>ワリビキ</t>
    </rPh>
    <phoneticPr fontId="3"/>
  </si>
  <si>
    <t>架台の増額</t>
    <rPh sb="0" eb="2">
      <t>カダイ</t>
    </rPh>
    <rPh sb="3" eb="5">
      <t>ゾウガク</t>
    </rPh>
    <phoneticPr fontId="3"/>
  </si>
  <si>
    <t>土地の割引</t>
    <rPh sb="0" eb="2">
      <t>トチ</t>
    </rPh>
    <rPh sb="3" eb="5">
      <t>ワリビキ</t>
    </rPh>
    <phoneticPr fontId="3"/>
  </si>
  <si>
    <t>工事増額</t>
    <rPh sb="0" eb="4">
      <t>コウジゾウガク</t>
    </rPh>
    <phoneticPr fontId="3"/>
  </si>
  <si>
    <t>PCS見積もり(ファーウェイ社製）</t>
    <rPh sb="3" eb="5">
      <t>ミツ</t>
    </rPh>
    <phoneticPr fontId="3"/>
  </si>
  <si>
    <t>伐採届け申請中</t>
    <rPh sb="0" eb="3">
      <t>バッサイトドケ</t>
    </rPh>
    <rPh sb="4" eb="7">
      <t>シンセイチュウ</t>
    </rPh>
    <phoneticPr fontId="3"/>
  </si>
  <si>
    <t>土地紹介料</t>
    <rPh sb="0" eb="5">
      <t>トチショウカイリョウ</t>
    </rPh>
    <phoneticPr fontId="3"/>
  </si>
  <si>
    <t>土地紹介料％＝＝＝＞</t>
    <rPh sb="0" eb="2">
      <t>トチ</t>
    </rPh>
    <rPh sb="2" eb="5">
      <t>ショウカイリョウ</t>
    </rPh>
    <phoneticPr fontId="3"/>
  </si>
  <si>
    <t>伐採・伐根・粗造成・測量費用</t>
    <rPh sb="0" eb="2">
      <t>バッサイ</t>
    </rPh>
    <rPh sb="3" eb="5">
      <t>バッコン</t>
    </rPh>
    <rPh sb="6" eb="7">
      <t>アラ</t>
    </rPh>
    <rPh sb="7" eb="9">
      <t>ゾウセイ</t>
    </rPh>
    <rPh sb="10" eb="12">
      <t>ソクリョウ</t>
    </rPh>
    <rPh sb="12" eb="14">
      <t>ヒヨウ</t>
    </rPh>
    <phoneticPr fontId="3"/>
  </si>
  <si>
    <t>土地代に含まれるのでゼロ円</t>
    <rPh sb="0" eb="3">
      <t>トチダイ</t>
    </rPh>
    <rPh sb="4" eb="5">
      <t>フク</t>
    </rPh>
    <rPh sb="12" eb="13">
      <t>エン</t>
    </rPh>
    <phoneticPr fontId="3"/>
  </si>
  <si>
    <t>土地代+土地紹介料+工事負担金＋伐採伐根造成測量費の合計のDC-KW単価</t>
    <rPh sb="0" eb="3">
      <t>トチダイ</t>
    </rPh>
    <rPh sb="4" eb="6">
      <t>トチ</t>
    </rPh>
    <rPh sb="6" eb="9">
      <t>ショウカイリョウ</t>
    </rPh>
    <rPh sb="10" eb="15">
      <t>コウジフタンキン</t>
    </rPh>
    <rPh sb="16" eb="22">
      <t>バッサイバッコンゾウセイ</t>
    </rPh>
    <rPh sb="22" eb="25">
      <t>ソクリョウヒ</t>
    </rPh>
    <rPh sb="26" eb="28">
      <t>ゴウケイ</t>
    </rPh>
    <rPh sb="34" eb="36">
      <t>タンカ</t>
    </rPh>
    <phoneticPr fontId="3"/>
  </si>
  <si>
    <t>↑↑上記金額は各6案件のDC-KW数で加重平均して求めた金額です。</t>
    <rPh sb="2" eb="4">
      <t>ジョウキ</t>
    </rPh>
    <rPh sb="4" eb="6">
      <t>キンガク</t>
    </rPh>
    <rPh sb="7" eb="8">
      <t>カク</t>
    </rPh>
    <rPh sb="9" eb="11">
      <t>アンケン</t>
    </rPh>
    <rPh sb="17" eb="18">
      <t>スウ</t>
    </rPh>
    <rPh sb="19" eb="23">
      <t>カジュウヘイキン</t>
    </rPh>
    <rPh sb="25" eb="26">
      <t>モト</t>
    </rPh>
    <rPh sb="28" eb="30">
      <t>キンガク</t>
    </rPh>
    <phoneticPr fontId="3"/>
  </si>
  <si>
    <t>指定の対象地No.</t>
    <rPh sb="0" eb="2">
      <t>シテイ</t>
    </rPh>
    <rPh sb="3" eb="6">
      <t>タイショウチ</t>
    </rPh>
    <phoneticPr fontId="3"/>
  </si>
  <si>
    <t>釧路</t>
    <rPh sb="0" eb="2">
      <t>クシロ</t>
    </rPh>
    <phoneticPr fontId="3"/>
  </si>
  <si>
    <t>現場のGOOGLEMAP上のURL</t>
    <rPh sb="0" eb="2">
      <t>ゲンバ</t>
    </rPh>
    <rPh sb="12" eb="13">
      <t>ジョウ</t>
    </rPh>
    <phoneticPr fontId="3"/>
  </si>
  <si>
    <t>左記の現場ごとに記した緯度経度のURLです。</t>
    <rPh sb="0" eb="2">
      <t>サキ</t>
    </rPh>
    <rPh sb="3" eb="5">
      <t>ゲンバ</t>
    </rPh>
    <rPh sb="8" eb="9">
      <t>シル</t>
    </rPh>
    <rPh sb="11" eb="15">
      <t>イドケイド</t>
    </rPh>
    <phoneticPr fontId="3"/>
  </si>
  <si>
    <t>https://www.google.com/maps/place/42%C2%B059'39.8%22N+144%C2%B009'13.1%22E/@42.9934518,144.1415688,4740m/data=!3m1!1e3!4m4!3m3!8m2!3d42.9943846!4d144.1536278?entry=ttu</t>
    <phoneticPr fontId="3"/>
  </si>
  <si>
    <t>https://www.google.com/maps/place/42%C2%B057'19.9%22N+144%C2%B003'17.2%22E/@42.9497984,144.0506396,2372m/data=!3m1!1e3!4m4!3m3!8m2!3d42.9555158!4d144.0547774?entry=ttu</t>
    <phoneticPr fontId="3"/>
  </si>
  <si>
    <t>https://www.google.com/maps/place/43%C2%B004'26.5%22N+144%C2%B050'21.6%22E/@43.0700461,144.8381312,3348m/data=!3m1!1e3!4m4!3m3!8m2!3d43.0740198!4d144.8393435?entry=ttu</t>
    <phoneticPr fontId="3"/>
  </si>
  <si>
    <t>https://www.google.com/maps/place/43%C2%B034'32.3%22N+144%C2%B059'40.0%22E/@43.5767597,144.9876094,3318m/data=!3m1!1e3!4m4!3m3!8m2!3d43.57563!4d144.9944435?entry=ttu</t>
    <phoneticPr fontId="3"/>
  </si>
  <si>
    <t>https://www.google.com/maps/place/43%C2%B025'49.7%22N+144%C2%B046'25.4%22E/@43.4075126,144.7927382,44763m/data=!3m1!1e3!4m4!3m3!8m2!3d43.4304702!4d144.7737142?entry=ttu</t>
    <phoneticPr fontId="3"/>
  </si>
  <si>
    <t>https://www.google.com/maps/place/43%C2%B025'02.7%22N+144%C2%B044'29.9%22E/@43.4174056,144.7390745,1431m/data=!3m2!1e3!4b1!4m4!3m3!8m2!3d43.4174056!4d144.7416494?entry=ttu</t>
    <phoneticPr fontId="3"/>
  </si>
  <si>
    <t>ハザードあり/なし</t>
    <phoneticPr fontId="3"/>
  </si>
  <si>
    <t>あり/津波</t>
    <rPh sb="3" eb="5">
      <t>ツナミ</t>
    </rPh>
    <phoneticPr fontId="3"/>
  </si>
  <si>
    <t>あり/洪水</t>
    <rPh sb="3" eb="5">
      <t>コウズイ</t>
    </rPh>
    <phoneticPr fontId="3"/>
  </si>
  <si>
    <t>なし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</si>
</sst>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&quot;¥&quot;#,##0.00_);[Red]\(&quot;¥&quot;#,##0.00\)"/>
    <numFmt numFmtId="178" formatCode="[$-F800]dddd\,\ mmmm\ dd\,\ yyyy"/>
    <numFmt numFmtId="179" formatCode="yyyy/m/d;@"/>
    <numFmt numFmtId="180" formatCode="&quot;US$&quot;#,##0.00_);[Red]\(&quot;US$&quot;#,##0.00\)"/>
    <numFmt numFmtId="181" formatCode="&quot;US$1＝&quot;&quot;¥&quot;#,##0.00_);[Red]\(&quot;¥&quot;#,##0.00\)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color rgb="FF000000"/>
      <name val="Microsoft YaHei"/>
      <family val="2"/>
      <charset val="134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0000FF"/>
      </left>
      <right style="thick">
        <color rgb="FF0000FF"/>
      </right>
      <top/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38" fontId="6" fillId="0" borderId="2" xfId="1" applyFont="1" applyFill="1" applyBorder="1">
      <alignment vertical="center"/>
    </xf>
    <xf numFmtId="40" fontId="6" fillId="0" borderId="2" xfId="1" applyNumberFormat="1" applyFont="1" applyFill="1" applyBorder="1">
      <alignment vertical="center"/>
    </xf>
    <xf numFmtId="38" fontId="2" fillId="0" borderId="2" xfId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38" fontId="2" fillId="0" borderId="2" xfId="1" applyFont="1" applyFill="1" applyBorder="1" applyAlignment="1">
      <alignment horizontal="left" vertical="center" wrapText="1"/>
    </xf>
    <xf numFmtId="38" fontId="0" fillId="0" borderId="2" xfId="1" applyFont="1" applyBorder="1" applyAlignment="1">
      <alignment vertical="center" shrinkToFit="1"/>
    </xf>
    <xf numFmtId="176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177" fontId="0" fillId="0" borderId="2" xfId="0" applyNumberFormat="1" applyBorder="1">
      <alignment vertical="center"/>
    </xf>
    <xf numFmtId="179" fontId="0" fillId="0" borderId="2" xfId="0" applyNumberFormat="1" applyBorder="1" applyAlignment="1">
      <alignment horizontal="right" vertical="center"/>
    </xf>
    <xf numFmtId="0" fontId="0" fillId="2" borderId="2" xfId="0" applyFill="1" applyBorder="1" applyAlignment="1">
      <alignment vertical="center" wrapText="1"/>
    </xf>
    <xf numFmtId="38" fontId="2" fillId="0" borderId="2" xfId="1" applyFont="1" applyFill="1" applyBorder="1" applyAlignment="1">
      <alignment horizontal="center" vertical="center" wrapText="1"/>
    </xf>
    <xf numFmtId="176" fontId="6" fillId="3" borderId="2" xfId="1" applyNumberFormat="1" applyFont="1" applyFill="1" applyBorder="1">
      <alignment vertical="center"/>
    </xf>
    <xf numFmtId="38" fontId="6" fillId="3" borderId="2" xfId="1" applyFont="1" applyFill="1" applyBorder="1">
      <alignment vertical="center"/>
    </xf>
    <xf numFmtId="176" fontId="0" fillId="3" borderId="3" xfId="0" applyNumberFormat="1" applyFill="1" applyBorder="1" applyAlignment="1">
      <alignment vertical="center" shrinkToFit="1"/>
    </xf>
    <xf numFmtId="176" fontId="0" fillId="3" borderId="2" xfId="0" applyNumberFormat="1" applyFill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9" fontId="0" fillId="0" borderId="2" xfId="0" applyNumberFormat="1" applyBorder="1">
      <alignment vertical="center"/>
    </xf>
    <xf numFmtId="0" fontId="0" fillId="4" borderId="2" xfId="0" applyFill="1" applyBorder="1">
      <alignment vertical="center"/>
    </xf>
    <xf numFmtId="179" fontId="0" fillId="5" borderId="2" xfId="0" applyNumberFormat="1" applyFill="1" applyBorder="1" applyAlignment="1">
      <alignment horizontal="right" vertical="center"/>
    </xf>
    <xf numFmtId="176" fontId="0" fillId="5" borderId="2" xfId="0" applyNumberFormat="1" applyFill="1" applyBorder="1" applyAlignment="1">
      <alignment horizontal="right" vertical="center"/>
    </xf>
    <xf numFmtId="0" fontId="0" fillId="6" borderId="2" xfId="0" applyFill="1" applyBorder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2" xfId="0" applyNumberFormat="1" applyBorder="1">
      <alignment vertical="center"/>
    </xf>
    <xf numFmtId="9" fontId="0" fillId="0" borderId="0" xfId="0" applyNumberFormat="1">
      <alignment vertical="center"/>
    </xf>
    <xf numFmtId="0" fontId="10" fillId="0" borderId="0" xfId="0" applyFont="1">
      <alignment vertical="center"/>
    </xf>
    <xf numFmtId="177" fontId="0" fillId="0" borderId="0" xfId="0" applyNumberFormat="1">
      <alignment vertical="center"/>
    </xf>
    <xf numFmtId="180" fontId="0" fillId="0" borderId="2" xfId="0" applyNumberFormat="1" applyBorder="1">
      <alignment vertical="center"/>
    </xf>
    <xf numFmtId="181" fontId="0" fillId="0" borderId="0" xfId="0" applyNumberFormat="1" applyAlignment="1">
      <alignment vertical="center" shrinkToFit="1"/>
    </xf>
    <xf numFmtId="0" fontId="1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vertical="center" wrapText="1"/>
    </xf>
    <xf numFmtId="0" fontId="0" fillId="7" borderId="2" xfId="0" applyFill="1" applyBorder="1" applyAlignment="1">
      <alignment vertical="center" wrapText="1"/>
    </xf>
    <xf numFmtId="0" fontId="12" fillId="7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vertical="center" shrinkToFit="1"/>
    </xf>
    <xf numFmtId="176" fontId="0" fillId="3" borderId="2" xfId="0" applyNumberFormat="1" applyFill="1" applyBorder="1" applyAlignment="1">
      <alignment vertical="center" shrinkToFit="1"/>
    </xf>
    <xf numFmtId="180" fontId="0" fillId="2" borderId="2" xfId="0" applyNumberFormat="1" applyFill="1" applyBorder="1" applyAlignment="1">
      <alignment vertical="center" shrinkToFit="1"/>
    </xf>
    <xf numFmtId="176" fontId="0" fillId="2" borderId="2" xfId="0" applyNumberFormat="1" applyFill="1" applyBorder="1" applyAlignment="1">
      <alignment vertical="center" shrinkToFit="1"/>
    </xf>
    <xf numFmtId="180" fontId="0" fillId="7" borderId="2" xfId="0" applyNumberFormat="1" applyFill="1" applyBorder="1" applyAlignment="1">
      <alignment vertical="center" shrinkToFit="1"/>
    </xf>
    <xf numFmtId="176" fontId="0" fillId="7" borderId="2" xfId="0" applyNumberFormat="1" applyFill="1" applyBorder="1" applyAlignment="1">
      <alignment vertical="center" shrinkToFit="1"/>
    </xf>
    <xf numFmtId="180" fontId="0" fillId="0" borderId="2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0" fontId="15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 shrinkToFit="1"/>
    </xf>
    <xf numFmtId="177" fontId="0" fillId="0" borderId="2" xfId="0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176" fontId="6" fillId="3" borderId="2" xfId="1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176" fontId="6" fillId="0" borderId="2" xfId="1" applyNumberFormat="1" applyFont="1" applyFill="1" applyBorder="1">
      <alignment vertical="center"/>
    </xf>
    <xf numFmtId="176" fontId="6" fillId="0" borderId="4" xfId="1" applyNumberFormat="1" applyFont="1" applyFill="1" applyBorder="1">
      <alignment vertical="center"/>
    </xf>
    <xf numFmtId="0" fontId="16" fillId="0" borderId="5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 shrinkToFit="1"/>
    </xf>
    <xf numFmtId="0" fontId="0" fillId="0" borderId="4" xfId="0" applyBorder="1" applyAlignment="1">
      <alignment vertical="center" wrapText="1"/>
    </xf>
    <xf numFmtId="176" fontId="16" fillId="0" borderId="7" xfId="0" applyNumberFormat="1" applyFont="1" applyBorder="1">
      <alignment vertical="center"/>
    </xf>
    <xf numFmtId="0" fontId="0" fillId="0" borderId="8" xfId="0" applyBorder="1" applyAlignment="1">
      <alignment horizontal="center" vertical="center" wrapText="1" shrinkToFit="1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17" fillId="0" borderId="2" xfId="2" applyBorder="1" applyAlignment="1">
      <alignment horizontal="left" vertical="center" wrapText="1"/>
    </xf>
    <xf numFmtId="0" fontId="14" fillId="6" borderId="2" xfId="0" applyFont="1" applyFill="1" applyBorder="1" applyAlignment="1">
      <alignment vertical="center" wrapText="1"/>
    </xf>
    <xf numFmtId="176" fontId="16" fillId="0" borderId="0" xfId="0" applyNumberFormat="1" applyFont="1">
      <alignment vertical="center"/>
    </xf>
    <xf numFmtId="0" fontId="5" fillId="0" borderId="2" xfId="0" applyFont="1" applyBorder="1" applyAlignment="1">
      <alignment vertical="center" wrapText="1" shrinkToFit="1"/>
    </xf>
    <xf numFmtId="9" fontId="0" fillId="0" borderId="0" xfId="3" applyFont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right" vertical="center"/>
    </xf>
    <xf numFmtId="178" fontId="0" fillId="0" borderId="14" xfId="0" applyNumberFormat="1" applyBorder="1" applyAlignment="1">
      <alignment horizontal="right" vertical="center" shrinkToFit="1"/>
    </xf>
    <xf numFmtId="179" fontId="0" fillId="0" borderId="14" xfId="0" applyNumberFormat="1" applyBorder="1" applyAlignment="1">
      <alignment horizontal="left" vertical="center" wrapText="1"/>
    </xf>
    <xf numFmtId="176" fontId="0" fillId="0" borderId="14" xfId="0" applyNumberFormat="1" applyBorder="1" applyAlignment="1">
      <alignment horizontal="right" vertical="center" wrapText="1"/>
    </xf>
    <xf numFmtId="176" fontId="0" fillId="0" borderId="17" xfId="0" applyNumberFormat="1" applyBorder="1" applyAlignment="1">
      <alignment horizontal="right" vertical="center"/>
    </xf>
    <xf numFmtId="176" fontId="0" fillId="9" borderId="17" xfId="0" applyNumberFormat="1" applyFill="1" applyBorder="1" applyAlignment="1">
      <alignment horizontal="right" vertical="center"/>
    </xf>
    <xf numFmtId="38" fontId="2" fillId="0" borderId="3" xfId="1" applyFont="1" applyFill="1" applyBorder="1" applyAlignment="1">
      <alignment horizontal="center" vertical="center" wrapText="1"/>
    </xf>
    <xf numFmtId="0" fontId="17" fillId="0" borderId="2" xfId="2" applyBorder="1" applyAlignment="1">
      <alignment vertical="center" wrapText="1"/>
    </xf>
    <xf numFmtId="38" fontId="17" fillId="0" borderId="2" xfId="2" applyNumberFormat="1" applyFill="1" applyBorder="1" applyAlignment="1">
      <alignment vertical="center" wrapText="1"/>
    </xf>
    <xf numFmtId="0" fontId="17" fillId="0" borderId="2" xfId="2" applyBorder="1" applyAlignment="1">
      <alignment vertical="center" wrapText="1" shrinkToFit="1"/>
    </xf>
    <xf numFmtId="176" fontId="14" fillId="8" borderId="1" xfId="0" applyNumberFormat="1" applyFont="1" applyFill="1" applyBorder="1" applyAlignment="1">
      <alignment horizontal="center" vertical="center" wrapText="1"/>
    </xf>
    <xf numFmtId="176" fontId="14" fillId="8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 wrapText="1"/>
    </xf>
    <xf numFmtId="38" fontId="2" fillId="3" borderId="3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8" fontId="2" fillId="0" borderId="2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38" fontId="2" fillId="0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">
    <cellStyle name="パーセント" xfId="3" builtinId="5"/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0000FF"/>
      <color rgb="FF0000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514350</xdr:colOff>
      <xdr:row>7</xdr:row>
      <xdr:rowOff>266700</xdr:rowOff>
    </xdr:from>
    <xdr:to>
      <xdr:col>38</xdr:col>
      <xdr:colOff>400050</xdr:colOff>
      <xdr:row>11</xdr:row>
      <xdr:rowOff>142875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9B8F25CE-F663-7FF6-BB08-707917DB5ECE}"/>
            </a:ext>
          </a:extLst>
        </xdr:cNvPr>
        <xdr:cNvCxnSpPr/>
      </xdr:nvCxnSpPr>
      <xdr:spPr>
        <a:xfrm flipH="1">
          <a:off x="30908625" y="1933575"/>
          <a:ext cx="4191000" cy="18859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google.com/maps/place/42%C2%B057'19.9%22N+144%C2%B003'17.2%22E/@42.9497984,144.0506396,2372m/data=!3m1!1e3!4m4!3m3!8m2!3d42.9555158!4d144.0547774?entry=ttu" TargetMode="External"/><Relationship Id="rId7" Type="http://schemas.openxmlformats.org/officeDocument/2006/relationships/hyperlink" Target="https://www.google.com/maps/place/43%C2%B025'02.7%22N+144%C2%B044'29.9%22E/@43.4174056,144.7390745,1431m/data=!3m2!1e3!4b1!4m4!3m3!8m2!3d43.4174056!4d144.7416494?entry=ttu" TargetMode="External"/><Relationship Id="rId2" Type="http://schemas.openxmlformats.org/officeDocument/2006/relationships/hyperlink" Target="https://www.google.com/maps/place/42%C2%B059'39.8%22N+144%C2%B009'13.1%22E/@42.9934518,144.1415688,4740m/data=!3m1!1e3!4m4!3m3!8m2!3d42.9943846!4d144.1536278?entry=ttu" TargetMode="External"/><Relationship Id="rId1" Type="http://schemas.openxmlformats.org/officeDocument/2006/relationships/hyperlink" Target="https://www.google.com/maps/place/43%C2%B004'26.5%22N+144%C2%B050'21.6%22E/@43.0740198,144.8367686,1228m/data=!3m2!1e3!4b1!4m4!3m3!8m2!3d43.0740198!4d144.8393435?entry=ttu" TargetMode="External"/><Relationship Id="rId6" Type="http://schemas.openxmlformats.org/officeDocument/2006/relationships/hyperlink" Target="https://www.google.com/maps/place/43%C2%B025'49.7%22N+144%C2%B046'25.4%22E/@43.4075126,144.7927382,44763m/data=!3m1!1e3!4m4!3m3!8m2!3d43.4304702!4d144.7737142?entry=ttu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www.google.com/maps/place/43%C2%B034'32.3%22N+144%C2%B059'40.0%22E/@43.5767597,144.9876094,3318m/data=!3m1!1e3!4m4!3m3!8m2!3d43.57563!4d144.9944435?entry=ttu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google.com/maps/place/43%C2%B004'26.5%22N+144%C2%B050'21.6%22E/@43.0700461,144.8381312,3348m/data=!3m1!1e3!4m4!3m3!8m2!3d43.0740198!4d144.8393435?entry=ttu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383F7-D5D7-4865-B4A2-6DC7183A7A10}">
  <dimension ref="B2:BF25"/>
  <sheetViews>
    <sheetView tabSelected="1" zoomScaleNormal="100" workbookViewId="0">
      <selection activeCell="I16" sqref="I16:I17"/>
    </sheetView>
  </sheetViews>
  <sheetFormatPr defaultRowHeight="18.75"/>
  <cols>
    <col min="2" max="3" width="5.25" style="4" customWidth="1"/>
    <col min="4" max="4" width="8.625" customWidth="1"/>
    <col min="5" max="5" width="39.75" customWidth="1"/>
    <col min="6" max="6" width="26.375" customWidth="1"/>
    <col min="7" max="7" width="11" customWidth="1"/>
    <col min="8" max="9" width="13.125" customWidth="1"/>
    <col min="10" max="10" width="10.125" customWidth="1"/>
    <col min="11" max="11" width="7.75" customWidth="1"/>
    <col min="12" max="12" width="9.125" customWidth="1"/>
    <col min="13" max="13" width="11.875" customWidth="1"/>
    <col min="14" max="14" width="10.5" customWidth="1"/>
    <col min="15" max="15" width="12.875" customWidth="1"/>
    <col min="16" max="16" width="11.75" customWidth="1"/>
    <col min="17" max="17" width="10.875" customWidth="1"/>
    <col min="18" max="18" width="8.125" customWidth="1"/>
    <col min="19" max="20" width="10" customWidth="1"/>
    <col min="21" max="21" width="11.5" customWidth="1"/>
    <col min="22" max="22" width="14" customWidth="1"/>
    <col min="23" max="23" width="12.625" customWidth="1"/>
    <col min="24" max="24" width="13" customWidth="1"/>
    <col min="25" max="28" width="15.25" customWidth="1"/>
    <col min="29" max="29" width="10.875" customWidth="1"/>
    <col min="30" max="30" width="21.125" customWidth="1"/>
    <col min="31" max="31" width="17.25" customWidth="1"/>
    <col min="32" max="32" width="13" customWidth="1"/>
    <col min="33" max="33" width="14.125" customWidth="1"/>
    <col min="34" max="34" width="16.375" customWidth="1"/>
    <col min="35" max="35" width="15" customWidth="1"/>
    <col min="36" max="36" width="14.75" customWidth="1"/>
    <col min="37" max="37" width="14.125" customWidth="1"/>
    <col min="38" max="38" width="12.625" bestFit="1" customWidth="1"/>
    <col min="39" max="39" width="14.125" customWidth="1"/>
    <col min="40" max="40" width="13.625" customWidth="1"/>
    <col min="41" max="41" width="11.375" customWidth="1"/>
    <col min="42" max="42" width="13.125" customWidth="1"/>
    <col min="43" max="43" width="12.75" customWidth="1"/>
    <col min="45" max="45" width="11.875" customWidth="1"/>
    <col min="46" max="46" width="10.625" customWidth="1"/>
    <col min="48" max="48" width="11.5" bestFit="1" customWidth="1"/>
    <col min="51" max="52" width="14.625" customWidth="1"/>
    <col min="53" max="53" width="13" customWidth="1"/>
    <col min="54" max="54" width="15.375" customWidth="1"/>
    <col min="56" max="56" width="11" customWidth="1"/>
    <col min="57" max="57" width="12.625" customWidth="1"/>
    <col min="58" max="58" width="14.75" customWidth="1"/>
  </cols>
  <sheetData>
    <row r="2" spans="2:58">
      <c r="AK2" t="s">
        <v>45</v>
      </c>
    </row>
    <row r="3" spans="2:58">
      <c r="AK3" s="37">
        <f>64217.56-4308.51</f>
        <v>59909.049999999996</v>
      </c>
      <c r="AL3">
        <f>AK3*AH9</f>
        <v>9345811.7999999989</v>
      </c>
    </row>
    <row r="5" spans="2:58">
      <c r="AG5" t="s">
        <v>47</v>
      </c>
      <c r="AH5" t="s">
        <v>48</v>
      </c>
    </row>
    <row r="6" spans="2:58">
      <c r="L6" t="s">
        <v>95</v>
      </c>
      <c r="AG6" s="34">
        <v>0.3</v>
      </c>
      <c r="AH6" s="34">
        <v>0.7</v>
      </c>
      <c r="AI6" s="35" t="s">
        <v>49</v>
      </c>
    </row>
    <row r="7" spans="2:58">
      <c r="L7" s="32">
        <v>4500</v>
      </c>
      <c r="AK7" t="s">
        <v>56</v>
      </c>
    </row>
    <row r="8" spans="2:58" ht="27.75" customHeight="1">
      <c r="D8" s="10" t="s">
        <v>11</v>
      </c>
      <c r="E8" s="10" t="s">
        <v>12</v>
      </c>
      <c r="F8" s="10"/>
      <c r="G8" s="10"/>
      <c r="H8" s="10"/>
      <c r="I8" s="10"/>
      <c r="J8" s="10"/>
      <c r="X8" s="31" t="s">
        <v>106</v>
      </c>
      <c r="Y8" s="31"/>
      <c r="Z8" s="31"/>
      <c r="AA8" s="80">
        <v>0.03</v>
      </c>
      <c r="AH8" t="s">
        <v>53</v>
      </c>
      <c r="AK8" s="37">
        <v>47728.88</v>
      </c>
      <c r="AL8" s="32">
        <f>AK8*AH9</f>
        <v>7445705.2799999993</v>
      </c>
      <c r="AM8" s="36">
        <f>AL8/G12</f>
        <v>12238.174358974358</v>
      </c>
      <c r="AY8" s="59" t="s">
        <v>83</v>
      </c>
      <c r="AZ8" s="59"/>
    </row>
    <row r="9" spans="2:58" ht="30" customHeight="1" thickBot="1">
      <c r="AH9" s="38">
        <v>156</v>
      </c>
      <c r="AY9" s="59" t="s">
        <v>71</v>
      </c>
      <c r="AZ9" s="59"/>
    </row>
    <row r="10" spans="2:58" ht="50.25" customHeight="1" thickTop="1">
      <c r="B10" s="103" t="s">
        <v>50</v>
      </c>
      <c r="C10" s="95" t="s">
        <v>112</v>
      </c>
      <c r="D10" s="112" t="s">
        <v>111</v>
      </c>
      <c r="E10" s="111" t="s">
        <v>24</v>
      </c>
      <c r="F10" s="3" t="s">
        <v>113</v>
      </c>
      <c r="G10" s="5" t="s">
        <v>13</v>
      </c>
      <c r="H10" s="105" t="s">
        <v>19</v>
      </c>
      <c r="I10" s="40" t="s">
        <v>121</v>
      </c>
      <c r="J10" s="113" t="s">
        <v>27</v>
      </c>
      <c r="K10" s="111" t="s">
        <v>5</v>
      </c>
      <c r="L10" s="111"/>
      <c r="M10" s="97" t="s">
        <v>8</v>
      </c>
      <c r="N10" s="99" t="s">
        <v>76</v>
      </c>
      <c r="O10" s="99" t="s">
        <v>9</v>
      </c>
      <c r="P10" s="99" t="s">
        <v>43</v>
      </c>
      <c r="Q10" s="99" t="s">
        <v>77</v>
      </c>
      <c r="R10" s="104" t="s">
        <v>15</v>
      </c>
      <c r="S10" s="105" t="s">
        <v>36</v>
      </c>
      <c r="T10" s="109" t="s">
        <v>79</v>
      </c>
      <c r="U10" s="105" t="s">
        <v>21</v>
      </c>
      <c r="V10" s="103" t="s">
        <v>16</v>
      </c>
      <c r="W10" s="105" t="s">
        <v>74</v>
      </c>
      <c r="X10" s="40" t="s">
        <v>105</v>
      </c>
      <c r="Y10" s="81" t="s">
        <v>107</v>
      </c>
      <c r="Z10" s="116" t="s">
        <v>109</v>
      </c>
      <c r="AA10" s="101" t="s">
        <v>23</v>
      </c>
      <c r="AB10" s="105" t="s">
        <v>26</v>
      </c>
      <c r="AC10" s="107" t="s">
        <v>35</v>
      </c>
      <c r="AD10" s="95" t="s">
        <v>20</v>
      </c>
      <c r="AE10" s="95" t="s">
        <v>20</v>
      </c>
      <c r="AF10" s="15" t="s">
        <v>34</v>
      </c>
      <c r="AG10" s="15" t="s">
        <v>67</v>
      </c>
      <c r="AH10" s="15" t="s">
        <v>103</v>
      </c>
      <c r="AI10" s="15" t="s">
        <v>68</v>
      </c>
      <c r="AJ10" s="42" t="s">
        <v>73</v>
      </c>
      <c r="AK10" s="43" t="s">
        <v>57</v>
      </c>
      <c r="AL10" s="44" t="s">
        <v>58</v>
      </c>
      <c r="AM10" s="18" t="s">
        <v>59</v>
      </c>
      <c r="AN10" s="18" t="s">
        <v>60</v>
      </c>
      <c r="AO10" s="47" t="s">
        <v>61</v>
      </c>
      <c r="AP10" s="47" t="s">
        <v>62</v>
      </c>
      <c r="AQ10" s="48" t="s">
        <v>63</v>
      </c>
      <c r="AR10" s="15" t="s">
        <v>64</v>
      </c>
      <c r="AS10" s="15" t="s">
        <v>64</v>
      </c>
      <c r="AT10" s="50" t="s">
        <v>65</v>
      </c>
      <c r="AU10" s="15" t="s">
        <v>41</v>
      </c>
      <c r="AV10" s="50" t="s">
        <v>66</v>
      </c>
      <c r="AW10" s="6" t="s">
        <v>42</v>
      </c>
      <c r="AX10" s="15" t="s">
        <v>81</v>
      </c>
      <c r="AY10" s="58" t="s">
        <v>70</v>
      </c>
      <c r="AZ10" s="15" t="s">
        <v>80</v>
      </c>
      <c r="BA10" s="60" t="s">
        <v>46</v>
      </c>
      <c r="BB10" s="61" t="s">
        <v>72</v>
      </c>
      <c r="BC10" s="65" t="s">
        <v>82</v>
      </c>
      <c r="BD10" s="69" t="s">
        <v>84</v>
      </c>
      <c r="BE10" s="72" t="s">
        <v>85</v>
      </c>
      <c r="BF10" s="93" t="s">
        <v>87</v>
      </c>
    </row>
    <row r="11" spans="2:58" ht="50.25" customHeight="1">
      <c r="B11" s="103"/>
      <c r="C11" s="96"/>
      <c r="D11" s="112"/>
      <c r="E11" s="111"/>
      <c r="F11" s="89" t="s">
        <v>114</v>
      </c>
      <c r="G11" s="12" t="s">
        <v>14</v>
      </c>
      <c r="H11" s="106"/>
      <c r="I11" s="41"/>
      <c r="J11" s="114"/>
      <c r="K11" s="1" t="s">
        <v>6</v>
      </c>
      <c r="L11" s="1" t="s">
        <v>7</v>
      </c>
      <c r="M11" s="98"/>
      <c r="N11" s="100"/>
      <c r="O11" s="100"/>
      <c r="P11" s="100"/>
      <c r="Q11" s="100"/>
      <c r="R11" s="104"/>
      <c r="S11" s="106"/>
      <c r="T11" s="110"/>
      <c r="U11" s="106"/>
      <c r="V11" s="103"/>
      <c r="W11" s="106"/>
      <c r="X11" s="41"/>
      <c r="Y11" s="82" t="s">
        <v>108</v>
      </c>
      <c r="Z11" s="117"/>
      <c r="AA11" s="102"/>
      <c r="AB11" s="106"/>
      <c r="AC11" s="108"/>
      <c r="AD11" s="96"/>
      <c r="AE11" s="96"/>
      <c r="AF11" s="6"/>
      <c r="AG11" s="6"/>
      <c r="AH11" s="6"/>
      <c r="AI11" s="6"/>
      <c r="AJ11" s="43" t="s">
        <v>55</v>
      </c>
      <c r="AK11" s="43"/>
      <c r="AL11" s="45" t="s">
        <v>54</v>
      </c>
      <c r="AM11" s="46" t="s">
        <v>54</v>
      </c>
      <c r="AN11" s="46"/>
      <c r="AO11" s="49"/>
      <c r="AP11" s="49"/>
      <c r="AQ11" s="49"/>
      <c r="AR11" s="39"/>
      <c r="AS11" s="39"/>
      <c r="AT11" s="39"/>
      <c r="AU11" s="33"/>
      <c r="AV11" s="33"/>
      <c r="AW11" s="33"/>
      <c r="AX11" s="33"/>
      <c r="AY11" s="33"/>
      <c r="AZ11" s="15"/>
      <c r="BA11" s="33"/>
      <c r="BB11" s="15"/>
      <c r="BC11" s="15"/>
      <c r="BD11" s="70"/>
      <c r="BE11" s="73"/>
      <c r="BF11" s="94"/>
    </row>
    <row r="12" spans="2:58" ht="96.75" customHeight="1">
      <c r="B12" s="5">
        <v>1</v>
      </c>
      <c r="C12" s="5">
        <v>1</v>
      </c>
      <c r="D12" s="1">
        <v>102</v>
      </c>
      <c r="E12" s="3" t="s">
        <v>0</v>
      </c>
      <c r="F12" s="90" t="s">
        <v>115</v>
      </c>
      <c r="G12" s="6">
        <f t="shared" ref="G12:G17" si="0">$R12*0.585</f>
        <v>608.4</v>
      </c>
      <c r="H12" s="6">
        <v>477.26799999999997</v>
      </c>
      <c r="I12" s="6" t="s">
        <v>122</v>
      </c>
      <c r="J12" s="24" t="s">
        <v>28</v>
      </c>
      <c r="K12" s="7">
        <v>8707</v>
      </c>
      <c r="L12" s="8">
        <f t="shared" ref="L12:L17" si="1">ROUNDDOWN(K12*0.3025,2)</f>
        <v>2633.86</v>
      </c>
      <c r="M12" s="20">
        <f>L12*$L$7+45</f>
        <v>11852415</v>
      </c>
      <c r="N12" s="20">
        <f>M12/G12</f>
        <v>19481.286982248523</v>
      </c>
      <c r="O12" s="21">
        <f>INT(M12*10%)</f>
        <v>1185241</v>
      </c>
      <c r="P12" s="20">
        <f t="shared" ref="P12:P17" si="2">M12-O12</f>
        <v>10667174</v>
      </c>
      <c r="Q12" s="20"/>
      <c r="R12" s="7">
        <v>1040</v>
      </c>
      <c r="S12" s="26">
        <v>0.8</v>
      </c>
      <c r="T12" s="27">
        <v>17</v>
      </c>
      <c r="U12" s="6">
        <v>600</v>
      </c>
      <c r="V12" s="14">
        <v>7700000</v>
      </c>
      <c r="W12" s="14">
        <f>V12/G12</f>
        <v>12656.147271531887</v>
      </c>
      <c r="X12" s="14">
        <f t="shared" ref="X12:X17" si="3">M12*$AA$8</f>
        <v>355572.45</v>
      </c>
      <c r="Y12" s="83">
        <v>0</v>
      </c>
      <c r="Z12" s="87">
        <f>(M12+V12+X12+Y12)/G12</f>
        <v>32721.872863247863</v>
      </c>
      <c r="AA12" s="84">
        <v>45337</v>
      </c>
      <c r="AB12" s="17">
        <v>45519</v>
      </c>
      <c r="AC12" s="28" t="s">
        <v>38</v>
      </c>
      <c r="AD12" s="6"/>
      <c r="AE12" s="6"/>
      <c r="AF12" s="51">
        <v>11864320</v>
      </c>
      <c r="AG12" s="51">
        <f>AF12/G12</f>
        <v>19500.854700854703</v>
      </c>
      <c r="AH12" s="51">
        <f>$AH$18*(T12/$T$18)</f>
        <v>10654912.272727272</v>
      </c>
      <c r="AI12" s="51">
        <f>8500</f>
        <v>8500</v>
      </c>
      <c r="AJ12" s="52">
        <v>6700000</v>
      </c>
      <c r="AK12" s="52">
        <f>AJ12/G12</f>
        <v>11012.491781722551</v>
      </c>
      <c r="AL12" s="53">
        <v>63779.01</v>
      </c>
      <c r="AM12" s="54">
        <f>AL12*$AH$9</f>
        <v>9949525.5600000005</v>
      </c>
      <c r="AN12" s="54">
        <f>AM12/G12</f>
        <v>16353.59230769231</v>
      </c>
      <c r="AO12" s="55">
        <v>54835.97</v>
      </c>
      <c r="AP12" s="56">
        <f>AO12*$AH$9</f>
        <v>8554411.3200000003</v>
      </c>
      <c r="AQ12" s="56">
        <f>AP12/G12</f>
        <v>14060.50512820513</v>
      </c>
      <c r="AR12" s="57">
        <v>7318.46</v>
      </c>
      <c r="AS12" s="51">
        <f>AR12*$AH$9</f>
        <v>1141679.76</v>
      </c>
      <c r="AT12" s="51">
        <f>AS12/G12</f>
        <v>1876.5282051282052</v>
      </c>
      <c r="AU12" s="51">
        <v>8700000</v>
      </c>
      <c r="AV12" s="51">
        <f>AU12/G12</f>
        <v>14299.802761341223</v>
      </c>
      <c r="AW12" s="33"/>
      <c r="AX12" s="33">
        <f>AG12+AI12+AK12+AT12+AV12</f>
        <v>55189.677449046678</v>
      </c>
      <c r="AY12" s="33">
        <v>40000</v>
      </c>
      <c r="AZ12" s="63">
        <f>AX12+AY12</f>
        <v>95189.677449046678</v>
      </c>
      <c r="BA12" s="33">
        <f>INT(M12*0.03*1.1+660)</f>
        <v>391789</v>
      </c>
      <c r="BB12" s="63">
        <f>ROUNDUP(BA12/G12,0)</f>
        <v>644</v>
      </c>
      <c r="BC12" s="66">
        <f t="shared" ref="BC12:BC18" si="4">N12</f>
        <v>19481.286982248523</v>
      </c>
      <c r="BD12" s="67">
        <f t="shared" ref="BD12:BD17" si="5">W12</f>
        <v>12656.147271531887</v>
      </c>
      <c r="BE12" s="74">
        <f>AZ12+BB12+BC12+BD12</f>
        <v>127971.11170282708</v>
      </c>
      <c r="BF12" s="76" t="s">
        <v>88</v>
      </c>
    </row>
    <row r="13" spans="2:58" ht="96.75" customHeight="1">
      <c r="B13" s="5">
        <v>2</v>
      </c>
      <c r="C13" s="5">
        <v>4</v>
      </c>
      <c r="D13" s="1">
        <v>70</v>
      </c>
      <c r="E13" s="2" t="s">
        <v>1</v>
      </c>
      <c r="F13" s="91" t="s">
        <v>116</v>
      </c>
      <c r="G13" s="6">
        <f t="shared" si="0"/>
        <v>545.21999999999991</v>
      </c>
      <c r="H13" s="6">
        <v>466.108</v>
      </c>
      <c r="I13" s="6" t="s">
        <v>122</v>
      </c>
      <c r="J13" s="19" t="s">
        <v>29</v>
      </c>
      <c r="K13" s="9">
        <v>8201</v>
      </c>
      <c r="L13" s="8">
        <f t="shared" si="1"/>
        <v>2480.8000000000002</v>
      </c>
      <c r="M13" s="20">
        <f>L13*$L$7</f>
        <v>11163600</v>
      </c>
      <c r="N13" s="20">
        <f>M13/G13</f>
        <v>20475.404423902281</v>
      </c>
      <c r="O13" s="21">
        <f>M13*10%</f>
        <v>1116360</v>
      </c>
      <c r="P13" s="20">
        <f t="shared" si="2"/>
        <v>10047240</v>
      </c>
      <c r="Q13" s="20"/>
      <c r="R13" s="7">
        <v>932</v>
      </c>
      <c r="S13" s="26">
        <v>0.96</v>
      </c>
      <c r="T13" s="27">
        <v>14</v>
      </c>
      <c r="U13" s="6">
        <v>600</v>
      </c>
      <c r="V13" s="14">
        <v>2200000</v>
      </c>
      <c r="W13" s="14">
        <f>V13/G13</f>
        <v>4035.0684127508166</v>
      </c>
      <c r="X13" s="14">
        <f t="shared" si="3"/>
        <v>334908</v>
      </c>
      <c r="Y13" s="83">
        <v>0</v>
      </c>
      <c r="Z13" s="87">
        <f>(M13+V13+X13+Y13)/G13</f>
        <v>25124.734969370165</v>
      </c>
      <c r="AA13" s="84">
        <v>45337</v>
      </c>
      <c r="AB13" s="17">
        <v>45519</v>
      </c>
      <c r="AC13" s="28" t="s">
        <v>37</v>
      </c>
      <c r="AD13" s="6"/>
      <c r="AE13" s="6"/>
      <c r="AF13" s="51">
        <v>10904400</v>
      </c>
      <c r="AG13" s="51">
        <f>AF13/G13</f>
        <v>20000.000000000004</v>
      </c>
      <c r="AH13" s="51">
        <f>$AH$18*(T13/$T$18)</f>
        <v>8774633.6363636348</v>
      </c>
      <c r="AI13" s="51">
        <f>AH13/G13</f>
        <v>16093.748645250791</v>
      </c>
      <c r="AJ13" s="52">
        <v>6190000</v>
      </c>
      <c r="AK13" s="52">
        <f>AJ13/G13</f>
        <v>11353.215215876162</v>
      </c>
      <c r="AL13" s="53">
        <v>58448.15</v>
      </c>
      <c r="AM13" s="54">
        <f t="shared" ref="AM13:AM17" si="6">AL13*$AH$9</f>
        <v>9117911.4000000004</v>
      </c>
      <c r="AN13" s="54">
        <f>AM13/G13</f>
        <v>16723.361945636629</v>
      </c>
      <c r="AO13" s="55">
        <v>49768.14</v>
      </c>
      <c r="AP13" s="56">
        <f t="shared" ref="AP13:AP17" si="7">AO13*$AH$9</f>
        <v>7763829.8399999999</v>
      </c>
      <c r="AQ13" s="56">
        <f>AP13/G13</f>
        <v>14239.811158798286</v>
      </c>
      <c r="AR13" s="57">
        <v>8388.2800000000007</v>
      </c>
      <c r="AS13" s="51">
        <f t="shared" ref="AS13:AS17" si="8">AR13*$AH$9</f>
        <v>1308571.6800000002</v>
      </c>
      <c r="AT13" s="51">
        <f>AS13/G13</f>
        <v>2400.0801144492139</v>
      </c>
      <c r="AU13" s="51">
        <v>8700000</v>
      </c>
      <c r="AV13" s="51">
        <f>AU13/G13</f>
        <v>15956.861450423685</v>
      </c>
      <c r="AW13" s="33"/>
      <c r="AX13" s="33">
        <f t="shared" ref="AX13:AX17" si="9">AG13+AI13+AK13+AT13+AV13</f>
        <v>65803.905425999852</v>
      </c>
      <c r="AY13" s="33">
        <f>AY12</f>
        <v>40000</v>
      </c>
      <c r="AZ13" s="63">
        <f t="shared" ref="AZ13:AZ17" si="10">AX13+AY13</f>
        <v>105803.90542599985</v>
      </c>
      <c r="BA13" s="33">
        <f>INT(M13*0.03*1.1+660)</f>
        <v>369058</v>
      </c>
      <c r="BB13" s="63">
        <f>ROUNDUP(BA13/G13,0)</f>
        <v>677</v>
      </c>
      <c r="BC13" s="66">
        <f t="shared" si="4"/>
        <v>20475.404423902281</v>
      </c>
      <c r="BD13" s="67">
        <f t="shared" si="5"/>
        <v>4035.0684127508166</v>
      </c>
      <c r="BE13" s="74">
        <f t="shared" ref="BE13:BE17" si="11">AZ13+BB13+BC13+BD13</f>
        <v>130991.37826265294</v>
      </c>
      <c r="BF13" s="76" t="s">
        <v>89</v>
      </c>
    </row>
    <row r="14" spans="2:58" ht="96.75" customHeight="1">
      <c r="B14" s="5">
        <v>3</v>
      </c>
      <c r="C14" s="5">
        <v>14</v>
      </c>
      <c r="D14" s="1">
        <v>14</v>
      </c>
      <c r="E14" s="2" t="s">
        <v>2</v>
      </c>
      <c r="F14" s="91" t="s">
        <v>117</v>
      </c>
      <c r="G14" s="6">
        <f t="shared" si="0"/>
        <v>1375.9199999999998</v>
      </c>
      <c r="H14" s="6">
        <v>1068.703</v>
      </c>
      <c r="I14" s="6" t="s">
        <v>122</v>
      </c>
      <c r="J14" s="19" t="s">
        <v>30</v>
      </c>
      <c r="K14" s="9">
        <v>19351</v>
      </c>
      <c r="L14" s="8">
        <f t="shared" si="1"/>
        <v>5853.67</v>
      </c>
      <c r="M14" s="20">
        <f>L14*$L$7</f>
        <v>26341515</v>
      </c>
      <c r="N14" s="20">
        <f>M14/G14</f>
        <v>19144.655939298798</v>
      </c>
      <c r="O14" s="21">
        <f>M14*10%-1</f>
        <v>2634150.5</v>
      </c>
      <c r="P14" s="20">
        <f t="shared" si="2"/>
        <v>23707364.5</v>
      </c>
      <c r="Q14" s="20"/>
      <c r="R14" s="7">
        <v>2352</v>
      </c>
      <c r="S14" s="26">
        <v>0.87</v>
      </c>
      <c r="T14" s="27">
        <v>35</v>
      </c>
      <c r="U14" s="6">
        <v>1300</v>
      </c>
      <c r="V14" s="14">
        <v>2100000</v>
      </c>
      <c r="W14" s="14">
        <f>V14/G14</f>
        <v>1526.2515262515265</v>
      </c>
      <c r="X14" s="14">
        <f t="shared" si="3"/>
        <v>790245.45</v>
      </c>
      <c r="Y14" s="83">
        <v>0</v>
      </c>
      <c r="Z14" s="87">
        <f>(M14+V14+X14+Y14)/G14</f>
        <v>21245.247143729288</v>
      </c>
      <c r="AA14" s="84">
        <v>45347</v>
      </c>
      <c r="AB14" s="17">
        <v>45534</v>
      </c>
      <c r="AC14" s="28" t="s">
        <v>39</v>
      </c>
      <c r="AD14" s="6"/>
      <c r="AE14" s="6"/>
      <c r="AF14" s="51">
        <v>26831616</v>
      </c>
      <c r="AG14" s="51">
        <f>AF14/G14</f>
        <v>19500.854700854703</v>
      </c>
      <c r="AH14" s="51">
        <f>$AH$18*(T14/$T$18)</f>
        <v>21936584.09090909</v>
      </c>
      <c r="AI14" s="51">
        <f>AH14/G14</f>
        <v>15943.211880711882</v>
      </c>
      <c r="AJ14" s="52">
        <v>15600000</v>
      </c>
      <c r="AK14" s="52">
        <f>AJ14/G14</f>
        <v>11337.868480725625</v>
      </c>
      <c r="AL14" s="53">
        <v>118063.72</v>
      </c>
      <c r="AM14" s="54">
        <f t="shared" si="6"/>
        <v>18417940.32</v>
      </c>
      <c r="AN14" s="54">
        <f>AM14/G14</f>
        <v>13385.909297052156</v>
      </c>
      <c r="AO14" s="55">
        <v>123824.54</v>
      </c>
      <c r="AP14" s="56">
        <f t="shared" si="7"/>
        <v>19316628.239999998</v>
      </c>
      <c r="AQ14" s="56">
        <f>AP14/G14</f>
        <v>14039.063492063493</v>
      </c>
      <c r="AR14" s="57">
        <v>11193.71</v>
      </c>
      <c r="AS14" s="51">
        <f t="shared" si="8"/>
        <v>1746218.7599999998</v>
      </c>
      <c r="AT14" s="51">
        <f>AS14/G14</f>
        <v>1269.1281179138323</v>
      </c>
      <c r="AU14" s="51">
        <v>14200000</v>
      </c>
      <c r="AV14" s="51">
        <f>AU14/G14</f>
        <v>10320.367463224607</v>
      </c>
      <c r="AW14" s="33"/>
      <c r="AX14" s="33">
        <f t="shared" si="9"/>
        <v>58371.430643430649</v>
      </c>
      <c r="AY14" s="33">
        <f t="shared" ref="AY14:AY17" si="12">AY13</f>
        <v>40000</v>
      </c>
      <c r="AZ14" s="63">
        <f t="shared" si="10"/>
        <v>98371.430643430649</v>
      </c>
      <c r="BA14" s="33">
        <f>INT(M14*0.03*1.1+660)</f>
        <v>869929</v>
      </c>
      <c r="BB14" s="63">
        <f>ROUNDUP(BA14/G14,0)</f>
        <v>633</v>
      </c>
      <c r="BC14" s="66">
        <f t="shared" si="4"/>
        <v>19144.655939298798</v>
      </c>
      <c r="BD14" s="67">
        <f t="shared" si="5"/>
        <v>1526.2515262515265</v>
      </c>
      <c r="BE14" s="74">
        <f t="shared" si="11"/>
        <v>119675.33810898097</v>
      </c>
      <c r="BF14" s="76" t="s">
        <v>90</v>
      </c>
    </row>
    <row r="15" spans="2:58" ht="96.75" customHeight="1">
      <c r="B15" s="5">
        <v>4</v>
      </c>
      <c r="C15" s="5">
        <v>20</v>
      </c>
      <c r="D15" s="5">
        <v>97</v>
      </c>
      <c r="E15" s="79" t="s">
        <v>18</v>
      </c>
      <c r="F15" s="92" t="s">
        <v>118</v>
      </c>
      <c r="G15" s="6">
        <f t="shared" si="0"/>
        <v>694.9799999999999</v>
      </c>
      <c r="H15" s="6">
        <v>543.25599999999997</v>
      </c>
      <c r="I15" s="6" t="s">
        <v>123</v>
      </c>
      <c r="J15" s="25" t="s">
        <v>31</v>
      </c>
      <c r="K15" s="6">
        <v>13003</v>
      </c>
      <c r="L15" s="8">
        <f t="shared" si="1"/>
        <v>3933.4</v>
      </c>
      <c r="M15" s="20">
        <f>L15*$L$7+45</f>
        <v>17700345</v>
      </c>
      <c r="N15" s="20">
        <f>M15/G15</f>
        <v>25468.855218855224</v>
      </c>
      <c r="O15" s="21">
        <f>INT(M15*10%)</f>
        <v>1770034</v>
      </c>
      <c r="P15" s="20">
        <f t="shared" si="2"/>
        <v>15930311</v>
      </c>
      <c r="Q15" s="64" t="s">
        <v>78</v>
      </c>
      <c r="R15" s="7">
        <v>1188</v>
      </c>
      <c r="S15" s="26">
        <v>0.86</v>
      </c>
      <c r="T15" s="27">
        <v>18</v>
      </c>
      <c r="U15" s="6">
        <v>750</v>
      </c>
      <c r="V15" s="14">
        <v>17800000</v>
      </c>
      <c r="W15" s="14">
        <f>V15/G15</f>
        <v>25612.247834470061</v>
      </c>
      <c r="X15" s="14">
        <f t="shared" si="3"/>
        <v>531010.35</v>
      </c>
      <c r="Y15" s="83">
        <v>0</v>
      </c>
      <c r="Z15" s="87">
        <f>(M15+V15+X15+Y15)/G15</f>
        <v>51845.168709890939</v>
      </c>
      <c r="AA15" s="84">
        <v>45347</v>
      </c>
      <c r="AB15" s="17">
        <v>45534</v>
      </c>
      <c r="AC15" s="28" t="s">
        <v>40</v>
      </c>
      <c r="AD15" s="30" t="s">
        <v>104</v>
      </c>
      <c r="AE15" s="77" t="s">
        <v>51</v>
      </c>
      <c r="AF15" s="51">
        <v>13552704</v>
      </c>
      <c r="AG15" s="51">
        <f>AF15/G15</f>
        <v>19500.854700854703</v>
      </c>
      <c r="AH15" s="51">
        <f>$AH$18*(T15/$T$18)</f>
        <v>11281671.818181818</v>
      </c>
      <c r="AI15" s="51">
        <f>AH15/G15</f>
        <v>16233.08846036119</v>
      </c>
      <c r="AJ15" s="52">
        <v>9000000</v>
      </c>
      <c r="AK15" s="52">
        <f>AJ15/G15</f>
        <v>12950.012950012951</v>
      </c>
      <c r="AL15" s="53">
        <v>62680.03</v>
      </c>
      <c r="AM15" s="54">
        <f t="shared" si="6"/>
        <v>9778084.6799999997</v>
      </c>
      <c r="AN15" s="54">
        <f>AM15/G15</f>
        <v>14069.591470258138</v>
      </c>
      <c r="AO15" s="55">
        <v>76790.990000000005</v>
      </c>
      <c r="AP15" s="56">
        <f t="shared" si="7"/>
        <v>11979394.440000001</v>
      </c>
      <c r="AQ15" s="56">
        <f>AP15/G15</f>
        <v>17237.034792368129</v>
      </c>
      <c r="AR15" s="57">
        <v>10290.31</v>
      </c>
      <c r="AS15" s="51">
        <f t="shared" si="8"/>
        <v>1605288.3599999999</v>
      </c>
      <c r="AT15" s="51">
        <f>AS15/G15</f>
        <v>2309.8338945005612</v>
      </c>
      <c r="AU15" s="51">
        <v>8200000</v>
      </c>
      <c r="AV15" s="51">
        <f>AU15/G15</f>
        <v>11798.900687789579</v>
      </c>
      <c r="AW15" s="33"/>
      <c r="AX15" s="33">
        <f t="shared" si="9"/>
        <v>62792.690693518991</v>
      </c>
      <c r="AY15" s="33">
        <f t="shared" si="12"/>
        <v>40000</v>
      </c>
      <c r="AZ15" s="63">
        <f t="shared" si="10"/>
        <v>102792.69069351899</v>
      </c>
      <c r="BA15" s="33">
        <f>INT(M15*0.03*1.1+660)</f>
        <v>584771</v>
      </c>
      <c r="BB15" s="63">
        <f>ROUNDUP(BA15/G15,0)</f>
        <v>842</v>
      </c>
      <c r="BC15" s="66">
        <f t="shared" si="4"/>
        <v>25468.855218855224</v>
      </c>
      <c r="BD15" s="67">
        <f t="shared" si="5"/>
        <v>25612.247834470061</v>
      </c>
      <c r="BE15" s="74">
        <f t="shared" si="11"/>
        <v>154715.79374684428</v>
      </c>
      <c r="BF15" s="76" t="s">
        <v>91</v>
      </c>
    </row>
    <row r="16" spans="2:58" ht="154.5" customHeight="1">
      <c r="B16" s="5">
        <v>5</v>
      </c>
      <c r="C16" s="5">
        <v>23</v>
      </c>
      <c r="D16" s="1">
        <v>65</v>
      </c>
      <c r="E16" s="2" t="s">
        <v>3</v>
      </c>
      <c r="F16" s="91" t="s">
        <v>119</v>
      </c>
      <c r="G16" s="6">
        <f t="shared" si="0"/>
        <v>463.32</v>
      </c>
      <c r="H16" s="6">
        <v>400</v>
      </c>
      <c r="I16" s="5" t="s">
        <v>124</v>
      </c>
      <c r="J16" s="19" t="s">
        <v>32</v>
      </c>
      <c r="K16" s="9">
        <v>7000</v>
      </c>
      <c r="L16" s="8">
        <f t="shared" si="1"/>
        <v>2117.5</v>
      </c>
      <c r="M16" s="20">
        <f>L16*$L$7</f>
        <v>9528750</v>
      </c>
      <c r="N16" s="20">
        <f>M16/G16</f>
        <v>20566.239316239316</v>
      </c>
      <c r="O16" s="21">
        <f>INT(M16*10%)</f>
        <v>952875</v>
      </c>
      <c r="P16" s="20">
        <f t="shared" si="2"/>
        <v>8575875</v>
      </c>
      <c r="Q16" s="20"/>
      <c r="R16" s="7">
        <v>792</v>
      </c>
      <c r="S16" s="26">
        <v>0.98</v>
      </c>
      <c r="T16" s="27">
        <v>12</v>
      </c>
      <c r="U16" s="6">
        <v>500</v>
      </c>
      <c r="V16" s="14">
        <v>1400000</v>
      </c>
      <c r="W16" s="14">
        <f>V16/G16</f>
        <v>3021.6696883363552</v>
      </c>
      <c r="X16" s="14">
        <f t="shared" si="3"/>
        <v>285862.5</v>
      </c>
      <c r="Y16" s="83">
        <v>0</v>
      </c>
      <c r="Z16" s="87">
        <f>(M16+V16+X16+Y16)/G16</f>
        <v>24204.896184062851</v>
      </c>
      <c r="AA16" s="85" t="s">
        <v>25</v>
      </c>
      <c r="AB16" s="17">
        <v>45606</v>
      </c>
      <c r="AC16" s="28" t="s">
        <v>37</v>
      </c>
      <c r="AD16" s="18" t="s">
        <v>52</v>
      </c>
      <c r="AE16" s="18"/>
      <c r="AF16" s="51">
        <v>9266400</v>
      </c>
      <c r="AG16" s="51">
        <f>AF16/G16</f>
        <v>20000</v>
      </c>
      <c r="AH16" s="51">
        <f>$AH$18*(T16/$T$18)</f>
        <v>7521114.5454545449</v>
      </c>
      <c r="AI16" s="51">
        <f>AH16/G16</f>
        <v>16233.088460361187</v>
      </c>
      <c r="AJ16" s="52">
        <v>6260000</v>
      </c>
      <c r="AK16" s="52">
        <f>AJ16/G16</f>
        <v>13511.180177846845</v>
      </c>
      <c r="AL16" s="53">
        <v>55005.5</v>
      </c>
      <c r="AM16" s="54">
        <f t="shared" si="6"/>
        <v>8580858</v>
      </c>
      <c r="AN16" s="54">
        <f>AM16/G16</f>
        <v>18520.370370370372</v>
      </c>
      <c r="AO16" s="55">
        <v>49465.55</v>
      </c>
      <c r="AP16" s="56">
        <f t="shared" si="7"/>
        <v>7716625.8000000007</v>
      </c>
      <c r="AQ16" s="56">
        <f>AP16/G16</f>
        <v>16655.06734006734</v>
      </c>
      <c r="AR16" s="57">
        <v>8006.12</v>
      </c>
      <c r="AS16" s="51">
        <f t="shared" si="8"/>
        <v>1248954.72</v>
      </c>
      <c r="AT16" s="51">
        <f>AS16/G16</f>
        <v>2695.6632996632998</v>
      </c>
      <c r="AU16" s="51">
        <v>7200000</v>
      </c>
      <c r="AV16" s="51">
        <f>AU16/G16</f>
        <v>15540.01554001554</v>
      </c>
      <c r="AW16" s="33"/>
      <c r="AX16" s="33">
        <f t="shared" si="9"/>
        <v>67979.947477886861</v>
      </c>
      <c r="AY16" s="33">
        <f t="shared" si="12"/>
        <v>40000</v>
      </c>
      <c r="AZ16" s="63">
        <f t="shared" si="10"/>
        <v>107979.94747788686</v>
      </c>
      <c r="BA16" s="33">
        <f>INT(M16*0.03*1.1+660)</f>
        <v>315108</v>
      </c>
      <c r="BB16" s="63">
        <f>ROUNDUP(BA16/G16,0)</f>
        <v>681</v>
      </c>
      <c r="BC16" s="66">
        <f t="shared" si="4"/>
        <v>20566.239316239316</v>
      </c>
      <c r="BD16" s="67">
        <f t="shared" si="5"/>
        <v>3021.6696883363552</v>
      </c>
      <c r="BE16" s="74">
        <f t="shared" si="11"/>
        <v>132248.85648246252</v>
      </c>
      <c r="BF16" s="76" t="s">
        <v>92</v>
      </c>
    </row>
    <row r="17" spans="2:58" ht="73.5" customHeight="1" thickBot="1">
      <c r="B17" s="5">
        <v>6</v>
      </c>
      <c r="C17" s="5">
        <v>25</v>
      </c>
      <c r="D17" s="1">
        <v>67</v>
      </c>
      <c r="E17" s="2" t="s">
        <v>4</v>
      </c>
      <c r="F17" s="91" t="s">
        <v>120</v>
      </c>
      <c r="G17" s="6">
        <f t="shared" si="0"/>
        <v>545.21999999999991</v>
      </c>
      <c r="H17" s="6">
        <v>466.108</v>
      </c>
      <c r="I17" s="5" t="s">
        <v>124</v>
      </c>
      <c r="J17" s="19" t="s">
        <v>33</v>
      </c>
      <c r="K17" s="9">
        <v>7420</v>
      </c>
      <c r="L17" s="8">
        <f t="shared" si="1"/>
        <v>2244.5500000000002</v>
      </c>
      <c r="M17" s="20">
        <f>L17*$L$7+35</f>
        <v>10100510</v>
      </c>
      <c r="N17" s="20">
        <f>M17/G17</f>
        <v>18525.567660760797</v>
      </c>
      <c r="O17" s="21">
        <f>INT(M17*10%)</f>
        <v>1010051</v>
      </c>
      <c r="P17" s="20">
        <f t="shared" si="2"/>
        <v>9090459</v>
      </c>
      <c r="Q17" s="20"/>
      <c r="R17" s="7">
        <v>932</v>
      </c>
      <c r="S17" s="26">
        <v>0.98</v>
      </c>
      <c r="T17" s="27">
        <v>14</v>
      </c>
      <c r="U17" s="6">
        <v>600</v>
      </c>
      <c r="V17" s="14">
        <v>1100000</v>
      </c>
      <c r="W17" s="14">
        <f>V17/G17</f>
        <v>2017.5342063754083</v>
      </c>
      <c r="X17" s="14">
        <f t="shared" si="3"/>
        <v>303015.3</v>
      </c>
      <c r="Y17" s="83">
        <v>0</v>
      </c>
      <c r="Z17" s="87">
        <f>(M17+V17+X17+Y17)/G17</f>
        <v>21098.868896959029</v>
      </c>
      <c r="AA17" s="84">
        <v>45340</v>
      </c>
      <c r="AB17" s="17">
        <v>45525</v>
      </c>
      <c r="AC17" s="28" t="s">
        <v>38</v>
      </c>
      <c r="AD17" s="6"/>
      <c r="AE17" s="6"/>
      <c r="AF17" s="51">
        <v>10904400</v>
      </c>
      <c r="AG17" s="51">
        <f>AF17/G17</f>
        <v>20000.000000000004</v>
      </c>
      <c r="AH17" s="51">
        <f>$AH$18*(T17/$T$18)</f>
        <v>8774633.6363636348</v>
      </c>
      <c r="AI17" s="51">
        <f>AH17/G17</f>
        <v>16093.748645250791</v>
      </c>
      <c r="AJ17" s="52">
        <v>7260000</v>
      </c>
      <c r="AK17" s="52">
        <f>AJ17/G17</f>
        <v>13315.725762077696</v>
      </c>
      <c r="AL17" s="53">
        <v>64469.54</v>
      </c>
      <c r="AM17" s="54">
        <f t="shared" si="6"/>
        <v>10057248.24</v>
      </c>
      <c r="AN17" s="54">
        <f>AM17/G17</f>
        <v>18446.220314735339</v>
      </c>
      <c r="AO17" s="55">
        <v>57462</v>
      </c>
      <c r="AP17" s="56">
        <f t="shared" si="7"/>
        <v>8964072</v>
      </c>
      <c r="AQ17" s="56">
        <f>AP17/G17</f>
        <v>16441.2017167382</v>
      </c>
      <c r="AR17" s="57">
        <v>9416.36</v>
      </c>
      <c r="AS17" s="51">
        <f t="shared" si="8"/>
        <v>1468952.1600000001</v>
      </c>
      <c r="AT17" s="51">
        <f>AS17/G17</f>
        <v>2694.2374821173112</v>
      </c>
      <c r="AU17" s="51">
        <v>7200000</v>
      </c>
      <c r="AV17" s="51">
        <f>AU17/G17</f>
        <v>13205.678441729946</v>
      </c>
      <c r="AW17" s="33"/>
      <c r="AX17" s="33">
        <f t="shared" si="9"/>
        <v>65309.390331175746</v>
      </c>
      <c r="AY17" s="33">
        <f t="shared" si="12"/>
        <v>40000</v>
      </c>
      <c r="AZ17" s="63">
        <f t="shared" si="10"/>
        <v>105309.39033117575</v>
      </c>
      <c r="BA17" s="33">
        <f>INT(M17*0.03*1.1+660)</f>
        <v>333976</v>
      </c>
      <c r="BB17" s="63">
        <f>ROUNDUP(BA17/G17,0)</f>
        <v>613</v>
      </c>
      <c r="BC17" s="66">
        <f t="shared" si="4"/>
        <v>18525.567660760797</v>
      </c>
      <c r="BD17" s="67">
        <f t="shared" si="5"/>
        <v>2017.5342063754083</v>
      </c>
      <c r="BE17" s="75">
        <f t="shared" si="11"/>
        <v>126465.49219831194</v>
      </c>
      <c r="BF17" s="76" t="s">
        <v>93</v>
      </c>
    </row>
    <row r="18" spans="2:58" ht="38.25" customHeight="1">
      <c r="G18" s="6">
        <f>SUM(G12:G17)</f>
        <v>4233.0600000000004</v>
      </c>
      <c r="H18" s="6">
        <f>SUM(H12:H17)</f>
        <v>3421.4430000000002</v>
      </c>
      <c r="I18" s="121"/>
      <c r="L18" s="11" t="s">
        <v>10</v>
      </c>
      <c r="M18" s="22">
        <f t="shared" ref="M18:V18" si="13">SUM(M12:M17)</f>
        <v>86687135</v>
      </c>
      <c r="N18" s="22">
        <f>M18/G18</f>
        <v>20478.598224452286</v>
      </c>
      <c r="O18" s="22">
        <f>SUM(O12:O17)</f>
        <v>8668711.5</v>
      </c>
      <c r="P18" s="22">
        <f>SUM(P12:P17)</f>
        <v>78018423.5</v>
      </c>
      <c r="Q18" s="22"/>
      <c r="R18" s="13">
        <f t="shared" si="13"/>
        <v>7236</v>
      </c>
      <c r="S18" s="6"/>
      <c r="T18" s="27">
        <f>SUM(T12:T17)</f>
        <v>110</v>
      </c>
      <c r="U18" s="6"/>
      <c r="V18" s="14">
        <f t="shared" si="13"/>
        <v>32300000</v>
      </c>
      <c r="W18" s="14">
        <f>V18/G18</f>
        <v>7630.4139322381434</v>
      </c>
      <c r="X18" s="14">
        <f>SUM(X12:X17)</f>
        <v>2600614.0499999998</v>
      </c>
      <c r="Y18" s="83">
        <f>SUM(Y12:Y17)</f>
        <v>0</v>
      </c>
      <c r="Z18" s="88">
        <f>(Y18+X18+V18+M18)/G18</f>
        <v>28723.370103423997</v>
      </c>
      <c r="AA18" s="86" t="s">
        <v>75</v>
      </c>
      <c r="AB18" s="14"/>
      <c r="AC18" s="29"/>
      <c r="AD18" s="6"/>
      <c r="AE18" s="6"/>
      <c r="AF18" s="6"/>
      <c r="AG18" s="6"/>
      <c r="AH18" s="33">
        <f>68943550</f>
        <v>68943550</v>
      </c>
      <c r="AI18" s="33"/>
      <c r="AJ18" s="33"/>
      <c r="AK18" s="33"/>
      <c r="AL18" s="37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15"/>
      <c r="BA18" s="6"/>
      <c r="BB18" s="62"/>
      <c r="BC18" s="66">
        <f t="shared" si="4"/>
        <v>20478.598224452286</v>
      </c>
      <c r="BD18" s="67"/>
      <c r="BE18" s="71">
        <f>(BE12*G12+BE13*G13+BE14*G14+BE15*G15+BE16*G16+BE17*G17)/G18</f>
        <v>130328.85737676118</v>
      </c>
      <c r="BF18" s="6"/>
    </row>
    <row r="19" spans="2:58" ht="58.5" customHeight="1" thickBot="1">
      <c r="L19" s="6" t="s">
        <v>17</v>
      </c>
      <c r="M19" s="23">
        <f>M18-O18</f>
        <v>78018423.5</v>
      </c>
      <c r="N19" t="s">
        <v>94</v>
      </c>
      <c r="Z19" s="118" t="s">
        <v>110</v>
      </c>
      <c r="AF19" s="31" t="s">
        <v>69</v>
      </c>
      <c r="BE19" s="68" t="s">
        <v>86</v>
      </c>
    </row>
    <row r="20" spans="2:58" ht="41.25" customHeight="1" thickTop="1">
      <c r="L20" s="15" t="s">
        <v>22</v>
      </c>
      <c r="M20" s="16">
        <f>M18/G18</f>
        <v>20478.598224452286</v>
      </c>
      <c r="Z20" s="119"/>
      <c r="AE20" s="32"/>
      <c r="AZ20" s="32">
        <f>BE12</f>
        <v>127971.11170282708</v>
      </c>
      <c r="BA20">
        <v>94167</v>
      </c>
      <c r="BC20" s="115" t="s">
        <v>96</v>
      </c>
      <c r="BD20" s="115"/>
      <c r="BE20" s="36">
        <f>M20</f>
        <v>20478.598224452286</v>
      </c>
    </row>
    <row r="21" spans="2:58" ht="34.5" customHeight="1" thickBot="1">
      <c r="Z21" s="120"/>
      <c r="AY21" t="s">
        <v>99</v>
      </c>
      <c r="AZ21" s="32">
        <f>9000</f>
        <v>9000</v>
      </c>
      <c r="BC21" s="115" t="s">
        <v>97</v>
      </c>
      <c r="BD21" s="115"/>
      <c r="BE21" s="32">
        <f>W18</f>
        <v>7630.4139322381434</v>
      </c>
    </row>
    <row r="22" spans="2:58" ht="57" thickTop="1">
      <c r="N22" s="31" t="s">
        <v>44</v>
      </c>
      <c r="O22" s="32">
        <f>P12+P13+P16+P17</f>
        <v>38380748</v>
      </c>
      <c r="AY22" t="s">
        <v>100</v>
      </c>
      <c r="AZ22">
        <v>0</v>
      </c>
      <c r="BC22" s="115" t="s">
        <v>98</v>
      </c>
      <c r="BD22" s="115"/>
      <c r="BE22" s="78">
        <f>BE20+BE21</f>
        <v>28109.012156690427</v>
      </c>
    </row>
    <row r="23" spans="2:58">
      <c r="AY23" t="s">
        <v>101</v>
      </c>
      <c r="AZ23" s="32">
        <v>11600</v>
      </c>
    </row>
    <row r="24" spans="2:58">
      <c r="AY24" t="s">
        <v>102</v>
      </c>
      <c r="AZ24">
        <v>14000</v>
      </c>
    </row>
    <row r="25" spans="2:58">
      <c r="AZ25" s="32">
        <f>AZ20-AZ21+AZ22-AZ23+AZ24</f>
        <v>121371.11170282708</v>
      </c>
    </row>
  </sheetData>
  <mergeCells count="29">
    <mergeCell ref="BC20:BD20"/>
    <mergeCell ref="BC21:BD21"/>
    <mergeCell ref="BC22:BD22"/>
    <mergeCell ref="N10:N11"/>
    <mergeCell ref="Q10:Q11"/>
    <mergeCell ref="Z10:Z11"/>
    <mergeCell ref="W10:W11"/>
    <mergeCell ref="Z19:Z21"/>
    <mergeCell ref="B10:B11"/>
    <mergeCell ref="K10:L10"/>
    <mergeCell ref="D10:D11"/>
    <mergeCell ref="E10:E11"/>
    <mergeCell ref="C10:C11"/>
    <mergeCell ref="J10:J11"/>
    <mergeCell ref="BF10:BF11"/>
    <mergeCell ref="AE10:AE11"/>
    <mergeCell ref="AD10:AD11"/>
    <mergeCell ref="M10:M11"/>
    <mergeCell ref="O10:O11"/>
    <mergeCell ref="AA10:AA11"/>
    <mergeCell ref="V10:V11"/>
    <mergeCell ref="R10:R11"/>
    <mergeCell ref="H10:H11"/>
    <mergeCell ref="U10:U11"/>
    <mergeCell ref="AB10:AB11"/>
    <mergeCell ref="AC10:AC11"/>
    <mergeCell ref="T10:T11"/>
    <mergeCell ref="S10:S11"/>
    <mergeCell ref="P10:P11"/>
  </mergeCells>
  <phoneticPr fontId="3"/>
  <hyperlinks>
    <hyperlink ref="BF14" r:id="rId1" display="https://www.google.com/maps/place/43%C2%B004'26.5%22N+144%C2%B050'21.6%22E/@43.0740198,144.8367686,1228m/data=!3m2!1e3!4b1!4m4!3m3!8m2!3d43.0740198!4d144.8393435?entry=ttu" xr:uid="{0E8D79EE-4491-42D0-94E2-1165A4A919AA}"/>
    <hyperlink ref="F12" r:id="rId2" xr:uid="{A3C6C0E2-D542-4267-8FA6-3B141DAA9E09}"/>
    <hyperlink ref="F13" r:id="rId3" xr:uid="{79629584-E20B-44E5-8BFF-DB5382B18840}"/>
    <hyperlink ref="F14" r:id="rId4" xr:uid="{BA707955-682F-4830-B1EE-AB994FE439BD}"/>
    <hyperlink ref="F15" r:id="rId5" xr:uid="{0CA840F8-60E4-4827-9091-0AC1D2C93301}"/>
    <hyperlink ref="F16" r:id="rId6" xr:uid="{031319E5-4C44-41E7-8888-1BAB2BA58A72}"/>
    <hyperlink ref="F17" r:id="rId7" xr:uid="{DA0A3461-7F0D-402E-A369-C0F19A0DE361}"/>
  </hyperlinks>
  <pageMargins left="0.70866141732283472" right="0.70866141732283472" top="0.74803149606299213" bottom="0.74803149606299213" header="0.31496062992125984" footer="0.31496062992125984"/>
  <pageSetup paperSize="9" scale="75" orientation="landscape" r:id="rId8"/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Kouichi Yamauchi</dc:creator>
  <cp:lastModifiedBy>Kouichi Yamauchi</cp:lastModifiedBy>
  <cp:lastPrinted>2024-02-15T04:08:28Z</cp:lastPrinted>
  <dcterms:created xsi:type="dcterms:W3CDTF">2023-07-22T09:44:37Z</dcterms:created>
  <dcterms:modified xsi:type="dcterms:W3CDTF">2024-07-29T03:54:01Z</dcterms:modified>
</cp:coreProperties>
</file>